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8_{34A949FA-01E5-4F87-AB6C-EDE9EC8A3B96}" xr6:coauthVersionLast="47" xr6:coauthVersionMax="47" xr10:uidLastSave="{00000000-0000-0000-0000-000000000000}"/>
  <bookViews>
    <workbookView xWindow="-110" yWindow="-110" windowWidth="19420" windowHeight="115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<sst xmlns="http://schemas.openxmlformats.org/spreadsheetml/2006/main" count="11619" uniqueCount="2453">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</sst>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4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100" fillId="33" borderId="45" xfId="0" applyFont="1" applyFill="1" applyBorder="1">
      <alignment vertical="center"/>
    </xf>
    <xf numFmtId="0" fontId="100" fillId="33" borderId="79" xfId="0" applyFont="1" applyFill="1" applyBorder="1">
      <alignment vertical="center"/>
    </xf>
    <xf numFmtId="0" fontId="100"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100" fillId="33" borderId="77" xfId="0" applyFont="1" applyFill="1" applyBorder="1">
      <alignment vertical="center"/>
    </xf>
    <xf numFmtId="0" fontId="45" fillId="25" borderId="0" xfId="0" applyFont="1" applyFill="1">
      <alignment vertical="center"/>
    </xf>
    <xf numFmtId="0" fontId="100"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1"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100"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6"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2" fillId="30" borderId="186"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4" xfId="0" applyFont="1" applyFill="1" applyBorder="1" applyAlignment="1">
      <alignment horizontal="center" vertical="center"/>
    </xf>
    <xf numFmtId="0" fontId="63" fillId="0" borderId="165"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2" fillId="30" borderId="186"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9" xfId="0" applyFont="1" applyFill="1" applyBorder="1" applyAlignment="1">
      <alignment horizontal="center" vertical="center"/>
    </xf>
    <xf numFmtId="0" fontId="51" fillId="33" borderId="170"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3" xfId="0" applyFont="1" applyFill="1" applyBorder="1">
      <alignment vertical="center"/>
    </xf>
    <xf numFmtId="0" fontId="51" fillId="33" borderId="171"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62"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1" fillId="30" borderId="186"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2" fillId="0" borderId="186"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4" xfId="0" applyFont="1" applyFill="1" applyBorder="1" applyAlignment="1">
      <alignment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0" fontId="47" fillId="25" borderId="162" xfId="0" applyFont="1" applyFill="1" applyBorder="1" applyAlignment="1">
      <alignment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49" fillId="0" borderId="144" xfId="0" applyNumberFormat="1" applyFont="1" applyBorder="1">
      <alignment vertical="center"/>
    </xf>
    <xf numFmtId="176" fontId="0" fillId="0" borderId="0" xfId="0" applyNumberFormat="1">
      <alignment vertical="center"/>
    </xf>
    <xf numFmtId="176" fontId="49" fillId="0" borderId="10" xfId="0" applyNumberFormat="1" applyFont="1" applyBorder="1">
      <alignment vertical="center"/>
    </xf>
    <xf numFmtId="179" fontId="0" fillId="0" borderId="0" xfId="0" applyNumberFormat="1">
      <alignment vertical="center"/>
    </xf>
    <xf numFmtId="176" fontId="49" fillId="0" borderId="28" xfId="0" applyNumberFormat="1" applyFont="1" applyBorder="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3"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3" fillId="25" borderId="0" xfId="0" applyFont="1" applyFill="1" applyAlignment="1">
      <alignment vertical="center" shrinkToFit="1"/>
    </xf>
    <xf numFmtId="0" fontId="103"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6" xfId="0" applyFont="1" applyBorder="1" applyAlignment="1">
      <alignment horizontal="center" vertical="center" wrapText="1"/>
    </xf>
    <xf numFmtId="0" fontId="95" fillId="0" borderId="186"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9" xfId="0" applyFont="1" applyFill="1" applyBorder="1" applyAlignment="1">
      <alignment horizontal="center" vertical="center" wrapText="1" shrinkToFit="1"/>
    </xf>
    <xf numFmtId="0" fontId="49" fillId="25" borderId="147" xfId="0" applyFont="1" applyFill="1" applyBorder="1" applyAlignment="1">
      <alignment horizontal="center" vertical="center" wrapText="1"/>
    </xf>
    <xf numFmtId="181" fontId="49" fillId="25" borderId="158"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8" xfId="0" applyFont="1" applyBorder="1" applyAlignment="1">
      <alignment horizontal="center" vertical="center" wrapText="1"/>
    </xf>
    <xf numFmtId="0" fontId="38" fillId="0" borderId="0" xfId="0" applyFont="1" applyAlignment="1">
      <alignment horizontal="center" vertical="center" wrapText="1"/>
    </xf>
    <xf numFmtId="0" fontId="95" fillId="0" borderId="186" xfId="0" applyFont="1" applyBorder="1" applyAlignment="1">
      <alignment vertical="center" wrapText="1"/>
    </xf>
    <xf numFmtId="0" fontId="95" fillId="0" borderId="189" xfId="0" applyFont="1" applyBorder="1" applyAlignment="1">
      <alignment vertical="center" wrapText="1"/>
    </xf>
    <xf numFmtId="0" fontId="95" fillId="0" borderId="188" xfId="0" applyFont="1" applyBorder="1" applyAlignment="1">
      <alignment vertical="center" wrapText="1"/>
    </xf>
    <xf numFmtId="0" fontId="95" fillId="0" borderId="187" xfId="0" applyFont="1" applyBorder="1" applyAlignment="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9" xfId="0" applyNumberFormat="1" applyFont="1" applyBorder="1">
      <alignment vertical="center"/>
    </xf>
    <xf numFmtId="0" fontId="0" fillId="0" borderId="111" xfId="0" applyBorder="1" applyAlignment="1">
      <alignment vertical="center" wrapText="1"/>
    </xf>
    <xf numFmtId="0" fontId="94" fillId="0" borderId="186" xfId="0" applyFont="1" applyBorder="1">
      <alignment vertical="center"/>
    </xf>
    <xf numFmtId="0" fontId="95" fillId="0" borderId="186" xfId="0" applyFont="1" applyBorder="1">
      <alignment vertical="center"/>
    </xf>
    <xf numFmtId="0" fontId="95" fillId="0" borderId="189" xfId="0" applyFont="1" applyBorder="1">
      <alignment vertical="center"/>
    </xf>
    <xf numFmtId="0" fontId="95" fillId="0" borderId="188"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81"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8" xfId="0" applyNumberFormat="1" applyFont="1" applyBorder="1">
      <alignment vertical="center"/>
    </xf>
    <xf numFmtId="181" fontId="49" fillId="0" borderId="148" xfId="0" applyNumberFormat="1" applyFont="1" applyBorder="1" applyAlignment="1">
      <alignment horizontal="right" vertical="center"/>
    </xf>
    <xf numFmtId="181" fontId="49" fillId="0" borderId="163" xfId="0" applyNumberFormat="1" applyFont="1" applyBorder="1">
      <alignment vertical="center"/>
    </xf>
    <xf numFmtId="0" fontId="0" fillId="0" borderId="113" xfId="0" applyBorder="1" applyAlignment="1">
      <alignment vertical="center" wrapText="1"/>
    </xf>
    <xf numFmtId="0" fontId="94" fillId="0" borderId="192"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181" fontId="49" fillId="0" borderId="142" xfId="0" applyNumberFormat="1" applyFont="1" applyBorder="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181" fontId="49" fillId="0" borderId="32" xfId="0" applyNumberFormat="1" applyFont="1" applyBorder="1">
      <alignment vertical="center"/>
    </xf>
    <xf numFmtId="181" fontId="49" fillId="0" borderId="81" xfId="0" applyNumberFormat="1" applyFont="1" applyBorder="1" applyAlignment="1">
      <alignment horizontal="right" vertical="center"/>
    </xf>
    <xf numFmtId="0" fontId="111" fillId="0" borderId="0" xfId="0" applyFont="1" applyAlignment="1">
      <alignment vertical="center" shrinkToFit="1"/>
    </xf>
    <xf numFmtId="0" fontId="111"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6"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3" fillId="25" borderId="0" xfId="0" applyFont="1" applyFill="1" applyAlignment="1">
      <alignment horizontal="center" vertical="center" wrapText="1"/>
    </xf>
    <xf numFmtId="0" fontId="96" fillId="0" borderId="193"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7" fillId="25" borderId="0" xfId="0" applyFont="1" applyFill="1" applyAlignment="1">
      <alignment horizontal="center" vertical="center" wrapText="1"/>
    </xf>
    <xf numFmtId="0" fontId="107"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7"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4" fillId="0" borderId="0" xfId="0" applyFont="1" applyAlignment="1">
      <alignment horizontal="center" vertical="center" wrapText="1"/>
    </xf>
    <xf numFmtId="0" fontId="95" fillId="25" borderId="186" xfId="0" applyFont="1" applyFill="1" applyBorder="1" applyAlignment="1">
      <alignment horizontal="center" vertical="center" wrapText="1"/>
    </xf>
    <xf numFmtId="0" fontId="95" fillId="25" borderId="191" xfId="0" applyFont="1" applyFill="1" applyBorder="1" applyAlignment="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7"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91" xfId="0" applyFont="1" applyBorder="1">
      <alignment vertical="center"/>
    </xf>
    <xf numFmtId="0" fontId="0" fillId="25" borderId="113" xfId="0" applyFill="1" applyBorder="1" applyAlignment="1">
      <alignment vertical="center" wrapText="1"/>
    </xf>
    <xf numFmtId="0" fontId="95" fillId="0" borderId="190"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72" fillId="25" borderId="148" xfId="0" applyFont="1" applyFill="1" applyBorder="1" applyAlignment="1">
      <alignment vertical="center" wrapText="1"/>
    </xf>
    <xf numFmtId="0" fontId="116"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34"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3"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62" xfId="0" applyFont="1" applyBorder="1" applyAlignment="1">
      <alignment horizontal="left" vertical="center" wrapText="1"/>
    </xf>
    <xf numFmtId="0" fontId="102" fillId="0" borderId="186"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58" fillId="25" borderId="0" xfId="0" applyFont="1" applyFill="1" applyAlignment="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82"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6" fillId="29" borderId="109" xfId="0" applyFont="1" applyFill="1" applyBorder="1" applyAlignment="1">
      <alignment horizontal="center" vertical="center"/>
    </xf>
    <xf numFmtId="0" fontId="46" fillId="29" borderId="157" xfId="0" applyFont="1" applyFill="1" applyBorder="1" applyAlignment="1">
      <alignment horizontal="center"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3"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62"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0" fontId="100" fillId="33" borderId="99" xfId="0" applyFont="1" applyFill="1" applyBorder="1" applyAlignment="1">
      <alignment horizontal="center" vertical="center"/>
    </xf>
    <xf numFmtId="0" fontId="100" fillId="33" borderId="137" xfId="0" applyFont="1" applyFill="1" applyBorder="1" applyAlignment="1">
      <alignment horizontal="center" vertical="center"/>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5" xfId="0" applyFont="1" applyBorder="1" applyAlignment="1">
      <alignment horizontal="center" vertical="center" wrapText="1" shrinkToFit="1"/>
    </xf>
    <xf numFmtId="0" fontId="30" fillId="0" borderId="158"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0" fontId="30" fillId="0" borderId="159" xfId="0" applyFont="1" applyBorder="1" applyAlignment="1">
      <alignment horizontal="center" vertical="center" wrapText="1" shrinkToFit="1"/>
    </xf>
    <xf numFmtId="0" fontId="47" fillId="25" borderId="0" xfId="0" applyFont="1" applyFill="1" applyAlignment="1">
      <alignment horizontal="left" vertical="top"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8"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6" xfId="0" applyFont="1" applyFill="1" applyBorder="1">
      <alignment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5" fillId="25" borderId="53"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47" fillId="25" borderId="67"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0" fontId="45" fillId="25" borderId="86" xfId="0" applyFont="1" applyFill="1" applyBorder="1" applyAlignment="1">
      <alignment horizontal="left" vertical="center" wrapText="1"/>
    </xf>
    <xf numFmtId="0" fontId="45" fillId="25" borderId="162" xfId="0" applyFont="1" applyFill="1" applyBorder="1" applyAlignment="1">
      <alignment horizontal="left"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51" fillId="33" borderId="33" xfId="0" applyFont="1" applyFill="1" applyBorder="1" applyAlignment="1">
      <alignment horizontal="center" vertical="center"/>
    </xf>
    <xf numFmtId="0" fontId="51" fillId="33" borderId="163" xfId="0" applyFont="1" applyFill="1" applyBorder="1" applyAlignment="1">
      <alignment horizontal="center" vertical="center"/>
    </xf>
    <xf numFmtId="0" fontId="0" fillId="25" borderId="32" xfId="0" applyFill="1" applyBorder="1" applyAlignment="1">
      <alignment horizontal="center"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0" fontId="57" fillId="30" borderId="0" xfId="0" applyFont="1" applyFill="1" applyAlignment="1">
      <alignment horizontal="center" vertical="center" textRotation="255"/>
    </xf>
    <xf numFmtId="0" fontId="57" fillId="30" borderId="16" xfId="0" applyFont="1" applyFill="1" applyBorder="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57" fillId="25" borderId="64" xfId="0" applyFont="1" applyFill="1" applyBorder="1" applyAlignment="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2" fillId="30" borderId="10" xfId="0" applyFont="1" applyFill="1" applyBorder="1" applyAlignment="1">
      <alignment horizontal="center" vertical="center"/>
    </xf>
    <xf numFmtId="0" fontId="45" fillId="25" borderId="0" xfId="0" applyFont="1" applyFill="1" applyAlignment="1">
      <alignment horizontal="left" vertical="top" wrapText="1"/>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7" fillId="25" borderId="69" xfId="0" applyFont="1" applyFill="1" applyBorder="1" applyAlignment="1">
      <alignment horizontal="left" vertical="center" wrapText="1"/>
    </xf>
    <xf numFmtId="0" fontId="50" fillId="25" borderId="0" xfId="0" applyFont="1" applyFill="1" applyAlignment="1">
      <alignment horizontal="left" vertical="center"/>
    </xf>
    <xf numFmtId="0" fontId="45" fillId="0" borderId="0" xfId="0" applyFont="1" applyAlignment="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7"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6" xfId="0" applyFont="1" applyBorder="1" applyAlignment="1">
      <alignment horizontal="center" vertical="center" wrapText="1" shrinkToFit="1"/>
    </xf>
    <xf numFmtId="0" fontId="30" fillId="0" borderId="160"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4"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5"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25" xfId="0" applyFont="1" applyFill="1" applyBorder="1" applyAlignment="1">
      <alignment horizontal="center" vertical="center" wrapText="1"/>
    </xf>
    <xf numFmtId="0" fontId="99" fillId="33" borderId="31" xfId="0" applyFont="1" applyFill="1" applyBorder="1" applyAlignment="1">
      <alignment horizontal="center" vertical="center" wrapText="1"/>
    </xf>
    <xf numFmtId="0" fontId="50" fillId="0" borderId="0" xfId="0" applyFont="1" applyAlignment="1">
      <alignment horizontal="lef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45" fillId="0" borderId="161"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3" xfId="0" applyFont="1" applyBorder="1" applyAlignment="1">
      <alignment horizontal="center" vertical="center"/>
    </xf>
    <xf numFmtId="0" fontId="57" fillId="0" borderId="48" xfId="0" applyFont="1" applyBorder="1" applyAlignment="1">
      <alignment horizontal="left" vertical="center"/>
    </xf>
    <xf numFmtId="0" fontId="57" fillId="0" borderId="172" xfId="0" applyFont="1" applyBorder="1" applyAlignment="1">
      <alignment horizontal="left" vertical="center"/>
    </xf>
    <xf numFmtId="0" fontId="57" fillId="0" borderId="173" xfId="0" applyFont="1" applyBorder="1" applyAlignment="1">
      <alignment horizontal="left" vertical="center"/>
    </xf>
    <xf numFmtId="0" fontId="57" fillId="0" borderId="174" xfId="0" applyFont="1" applyBorder="1" applyAlignment="1">
      <alignment horizontal="left" vertical="center"/>
    </xf>
    <xf numFmtId="0" fontId="57" fillId="0" borderId="48" xfId="0" applyFont="1" applyBorder="1" applyAlignment="1">
      <alignment horizontal="left" vertical="center" wrapText="1"/>
    </xf>
    <xf numFmtId="0" fontId="57" fillId="0" borderId="172" xfId="0" applyFont="1" applyBorder="1" applyAlignment="1">
      <alignment horizontal="left" vertical="center" wrapText="1"/>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67" fillId="25" borderId="0" xfId="0" applyFont="1" applyFill="1" applyAlignment="1">
      <alignment horizontal="left" vertical="center" shrinkToFit="1"/>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3"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62"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3"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62" xfId="0" applyFont="1" applyBorder="1" applyAlignment="1">
      <alignment horizontal="left" vertical="center" wrapText="1"/>
    </xf>
    <xf numFmtId="2" fontId="63" fillId="25" borderId="0" xfId="0" applyNumberFormat="1" applyFont="1" applyFill="1" applyAlignment="1">
      <alignment horizontal="center" vertical="center" shrinkToFi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lignment vertical="center" shrinkToFit="1"/>
    </xf>
    <xf numFmtId="0" fontId="45" fillId="25" borderId="196" xfId="0" applyFont="1" applyFill="1" applyBorder="1" applyAlignment="1">
      <alignment vertical="center" shrinkToFi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3" xfId="0" applyFont="1" applyBorder="1" applyAlignment="1">
      <alignment horizontal="left" vertical="center"/>
    </xf>
    <xf numFmtId="0" fontId="46" fillId="0" borderId="160" xfId="0" applyFont="1" applyBorder="1" applyAlignment="1">
      <alignment horizontal="left" vertical="center"/>
    </xf>
    <xf numFmtId="0" fontId="46" fillId="0" borderId="162" xfId="0" applyFont="1" applyBorder="1" applyAlignment="1">
      <alignment horizontal="left" vertical="center"/>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7" xfId="0" applyFont="1" applyBorder="1" applyAlignment="1">
      <alignment horizontal="center" vertical="center" wrapText="1"/>
    </xf>
    <xf numFmtId="0" fontId="111" fillId="0" borderId="191" xfId="0" applyFont="1" applyBorder="1" applyAlignment="1">
      <alignment horizontal="center" vertical="center" wrapText="1"/>
    </xf>
    <xf numFmtId="0" fontId="95" fillId="0" borderId="190"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3"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5"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41"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7"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7" xfId="0" applyFont="1" applyBorder="1" applyAlignment="1">
      <alignment horizontal="left" vertical="center" wrapText="1"/>
    </xf>
    <xf numFmtId="0" fontId="49" fillId="0" borderId="144"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2"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3"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4"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42"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41"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3" fillId="0" borderId="21" xfId="0" applyNumberFormat="1" applyFont="1" applyBorder="1" applyAlignment="1">
      <alignment horizontal="right" vertical="center" wrapText="1"/>
    </xf>
    <xf numFmtId="2" fontId="43" fillId="0" borderId="22" xfId="0" applyNumberFormat="1" applyFont="1" applyBorder="1" applyAlignment="1">
      <alignment horizontal="right" vertical="center" wrapText="1"/>
    </xf>
    <xf numFmtId="2" fontId="43" fillId="0" borderId="26" xfId="0" applyNumberFormat="1" applyFont="1" applyBorder="1" applyAlignment="1">
      <alignment horizontal="right" vertical="center" wrapText="1"/>
    </xf>
    <xf numFmtId="0" fontId="30" fillId="0" borderId="28" xfId="0" applyFont="1" applyBorder="1" applyAlignment="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lignment horizontal="right" vertical="center" wrapText="1"/>
    </xf>
    <xf numFmtId="0" fontId="49" fillId="25" borderId="143"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4" xfId="0" applyFont="1" applyFill="1" applyBorder="1" applyAlignment="1">
      <alignment horizontal="center" vertical="center" shrinkToFit="1"/>
    </xf>
    <xf numFmtId="0" fontId="49" fillId="25" borderId="142"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7" xfId="0" applyFont="1" applyFill="1" applyBorder="1" applyAlignment="1">
      <alignment horizontal="center" vertical="center" wrapText="1"/>
    </xf>
    <xf numFmtId="0" fontId="43" fillId="25" borderId="144" xfId="0" applyFont="1" applyFill="1" applyBorder="1" applyAlignment="1">
      <alignment horizontal="center" vertical="center" wrapText="1"/>
    </xf>
    <xf numFmtId="0" fontId="43" fillId="25" borderId="142" xfId="0" applyFont="1" applyFill="1" applyBorder="1" applyAlignment="1">
      <alignment horizontal="center" vertical="center" wrapText="1"/>
    </xf>
    <xf numFmtId="0" fontId="49" fillId="25" borderId="79" xfId="0" applyFont="1" applyFill="1" applyBorder="1" applyAlignment="1">
      <alignment horizontal="center" vertical="center"/>
    </xf>
    <xf numFmtId="0" fontId="49" fillId="25" borderId="119" xfId="0" applyFont="1" applyFill="1" applyBorder="1" applyAlignment="1">
      <alignment horizontal="center" vertical="center" shrinkToFit="1"/>
    </xf>
    <xf numFmtId="0" fontId="49" fillId="25" borderId="147" xfId="0" applyFont="1" applyFill="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3" fillId="25" borderId="12" xfId="0" applyFont="1" applyFill="1" applyBorder="1" applyAlignment="1">
      <alignment horizontal="center" vertical="center"/>
    </xf>
    <xf numFmtId="0" fontId="113"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6" xfId="0" applyNumberFormat="1" applyFont="1" applyBorder="1" applyAlignment="1">
      <alignment horizontal="center" vertical="center" wrapText="1"/>
    </xf>
    <xf numFmtId="181" fontId="72" fillId="0" borderId="148" xfId="0" applyNumberFormat="1" applyFont="1" applyBorder="1" applyAlignment="1">
      <alignment horizontal="center" vertical="center"/>
    </xf>
    <xf numFmtId="0" fontId="95" fillId="0" borderId="186"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1" fillId="0" borderId="190"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9"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5" xfId="0" applyFont="1" applyFill="1" applyBorder="1" applyAlignment="1">
      <alignment horizontal="center" vertical="center" wrapText="1"/>
    </xf>
    <xf numFmtId="0" fontId="49" fillId="25" borderId="163" xfId="0" applyFont="1" applyFill="1" applyBorder="1" applyAlignment="1">
      <alignment horizontal="center" vertical="center" wrapText="1"/>
    </xf>
    <xf numFmtId="0" fontId="49" fillId="25" borderId="159" xfId="0" applyFont="1" applyFill="1" applyBorder="1" applyAlignment="1">
      <alignment horizontal="center" vertical="center" wrapText="1"/>
    </xf>
    <xf numFmtId="0" fontId="72" fillId="0" borderId="109" xfId="0" applyFont="1" applyBorder="1" applyAlignment="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4"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lignment horizontal="left" vertical="center" wrapText="1"/>
    </xf>
    <xf numFmtId="0" fontId="43" fillId="0" borderId="158" xfId="0" applyFont="1" applyBorder="1" applyAlignment="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lignment horizontal="center" vertical="center" shrinkToFit="1"/>
    </xf>
    <xf numFmtId="0" fontId="49" fillId="0" borderId="160" xfId="0" applyFont="1" applyBorder="1" applyAlignment="1">
      <alignment horizontal="center" vertical="center" shrinkToFit="1"/>
    </xf>
    <xf numFmtId="0" fontId="49" fillId="0" borderId="159" xfId="0" applyFont="1" applyBorder="1" applyAlignment="1">
      <alignment horizontal="center" vertical="center" shrinkToFit="1"/>
    </xf>
    <xf numFmtId="0" fontId="43" fillId="0" borderId="144" xfId="0" applyFont="1" applyBorder="1" applyAlignment="1">
      <alignment horizontal="left" vertical="center" wrapText="1"/>
    </xf>
    <xf numFmtId="0" fontId="105" fillId="0" borderId="144" xfId="0" applyFont="1" applyBorder="1" applyAlignment="1">
      <alignment horizontal="center" vertical="center"/>
    </xf>
    <xf numFmtId="0" fontId="105" fillId="0" borderId="41" xfId="0" applyFont="1" applyBorder="1" applyAlignment="1">
      <alignment horizontal="center" vertical="center"/>
    </xf>
    <xf numFmtId="0" fontId="105" fillId="0" borderId="145" xfId="0" applyFont="1" applyBorder="1" applyAlignment="1">
      <alignment horizontal="center" vertical="center"/>
    </xf>
    <xf numFmtId="0" fontId="105" fillId="0" borderId="17" xfId="0" applyFont="1" applyBorder="1" applyAlignment="1">
      <alignment horizontal="center" vertical="center"/>
    </xf>
    <xf numFmtId="0" fontId="105" fillId="0" borderId="18" xfId="0" applyFont="1" applyBorder="1" applyAlignment="1">
      <alignment horizontal="center" vertical="center"/>
    </xf>
    <xf numFmtId="0" fontId="105" fillId="0" borderId="19" xfId="0" applyFont="1" applyBorder="1" applyAlignment="1">
      <alignment horizontal="center" vertical="center"/>
    </xf>
    <xf numFmtId="0" fontId="105" fillId="25" borderId="20" xfId="0" applyFont="1" applyFill="1" applyBorder="1" applyAlignment="1">
      <alignment horizontal="center" vertical="center"/>
    </xf>
    <xf numFmtId="0" fontId="105" fillId="25" borderId="160" xfId="0" applyFont="1" applyFill="1" applyBorder="1" applyAlignment="1">
      <alignment horizontal="center" vertical="center"/>
    </xf>
    <xf numFmtId="0" fontId="105" fillId="25" borderId="15" xfId="0" applyFont="1" applyFill="1" applyBorder="1" applyAlignment="1">
      <alignment horizontal="center" vertical="center"/>
    </xf>
    <xf numFmtId="0" fontId="105" fillId="25" borderId="159" xfId="0" applyFont="1" applyFill="1" applyBorder="1" applyAlignment="1">
      <alignment horizontal="center" vertical="center"/>
    </xf>
    <xf numFmtId="0" fontId="105" fillId="25" borderId="14" xfId="0" applyFont="1" applyFill="1" applyBorder="1" applyAlignment="1">
      <alignment horizontal="center" vertical="center" shrinkToFit="1"/>
    </xf>
    <xf numFmtId="0" fontId="105" fillId="25" borderId="158" xfId="0" applyFont="1" applyFill="1" applyBorder="1" applyAlignment="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lignment horizontal="left" vertical="center" wrapText="1"/>
    </xf>
    <xf numFmtId="0" fontId="110" fillId="25" borderId="35" xfId="0" applyFont="1" applyFill="1" applyBorder="1" applyAlignment="1">
      <alignment horizontal="left" vertical="center" wrapText="1"/>
    </xf>
    <xf numFmtId="0" fontId="110"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60"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9"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8" xfId="0" applyNumberFormat="1" applyFont="1" applyFill="1" applyBorder="1" applyAlignment="1">
      <alignment horizontal="right" vertical="center"/>
    </xf>
    <xf numFmtId="0" fontId="49" fillId="0" borderId="143" xfId="0" applyFont="1" applyBorder="1" applyAlignment="1">
      <alignment horizontal="center" vertical="center" wrapText="1"/>
    </xf>
    <xf numFmtId="0" fontId="49" fillId="0" borderId="100" xfId="0" applyFont="1" applyBorder="1" applyAlignment="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5" xfId="0" applyFont="1" applyBorder="1" applyAlignment="1">
      <alignment horizontal="center" vertical="center" wrapText="1"/>
    </xf>
    <xf numFmtId="0" fontId="72" fillId="0" borderId="158" xfId="0" applyFont="1" applyBorder="1" applyAlignment="1">
      <alignment horizontal="center" vertical="center" wrapText="1"/>
    </xf>
    <xf numFmtId="0" fontId="72" fillId="0" borderId="160" xfId="0" applyFont="1" applyBorder="1" applyAlignment="1">
      <alignment horizontal="center" vertical="center" wrapText="1"/>
    </xf>
    <xf numFmtId="0" fontId="72" fillId="0" borderId="159" xfId="0" applyFont="1" applyBorder="1" applyAlignment="1">
      <alignment horizontal="center" vertical="center" wrapText="1"/>
    </xf>
    <xf numFmtId="0" fontId="105" fillId="0" borderId="15" xfId="0" applyFont="1" applyBorder="1" applyAlignment="1">
      <alignment horizontal="center" vertical="center"/>
    </xf>
    <xf numFmtId="0" fontId="105" fillId="0" borderId="159"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3" xfId="0" applyNumberFormat="1" applyFont="1" applyBorder="1" applyAlignment="1">
      <alignment horizontal="center" vertical="center"/>
    </xf>
    <xf numFmtId="177" fontId="43" fillId="0" borderId="184"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7" xfId="0" applyNumberFormat="1" applyFont="1" applyBorder="1" applyAlignment="1">
      <alignment horizontal="center" vertical="center" shrinkToFit="1"/>
    </xf>
    <xf numFmtId="0" fontId="72" fillId="25" borderId="146" xfId="0" applyFont="1" applyFill="1" applyBorder="1" applyAlignment="1">
      <alignment horizontal="center" vertical="center" wrapText="1"/>
    </xf>
    <xf numFmtId="0" fontId="72" fillId="25" borderId="148" xfId="0" applyFont="1" applyFill="1" applyBorder="1" applyAlignment="1">
      <alignment horizontal="center" vertical="center" wrapText="1"/>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4"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5" xfId="0" applyFont="1" applyFill="1" applyBorder="1" applyAlignment="1">
      <alignment horizontal="center" vertical="center"/>
    </xf>
    <xf numFmtId="0" fontId="49" fillId="25" borderId="142"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41" xfId="0" applyFont="1" applyFill="1" applyBorder="1" applyAlignment="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8" xfId="0" applyFont="1" applyFill="1" applyBorder="1" applyAlignment="1">
      <alignment horizontal="center" vertical="center"/>
    </xf>
    <xf numFmtId="177" fontId="72" fillId="25" borderId="146"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8" xfId="0" applyNumberFormat="1" applyFont="1" applyFill="1" applyBorder="1" applyAlignment="1">
      <alignment horizontal="right" vertical="center"/>
    </xf>
    <xf numFmtId="0" fontId="105" fillId="0" borderId="14" xfId="0" applyFont="1" applyBorder="1" applyAlignment="1">
      <alignment horizontal="center" vertical="center" shrinkToFit="1"/>
    </xf>
    <xf numFmtId="0" fontId="105" fillId="0" borderId="158" xfId="0" applyFont="1" applyBorder="1" applyAlignment="1">
      <alignment horizontal="center" vertical="center" shrinkToFit="1"/>
    </xf>
    <xf numFmtId="0" fontId="43" fillId="25" borderId="158" xfId="0" applyFont="1" applyFill="1" applyBorder="1" applyAlignment="1">
      <alignment horizontal="center" vertical="center" wrapText="1"/>
    </xf>
    <xf numFmtId="0" fontId="43" fillId="25" borderId="143"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8" xfId="0" applyFont="1" applyFill="1" applyBorder="1" applyAlignment="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6" xfId="0" applyNumberFormat="1" applyFont="1" applyBorder="1" applyAlignment="1">
      <alignment horizontal="right" vertical="center"/>
    </xf>
    <xf numFmtId="177" fontId="72" fillId="0" borderId="92" xfId="0" applyNumberFormat="1" applyFont="1" applyBorder="1" applyAlignment="1">
      <alignment horizontal="right" vertical="center"/>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lignment horizontal="center" vertical="center" wrapText="1"/>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0" borderId="14" xfId="0" applyNumberFormat="1" applyFont="1" applyBorder="1" applyAlignment="1">
      <alignment horizontal="right" vertical="center"/>
    </xf>
    <xf numFmtId="177" fontId="49" fillId="0" borderId="158" xfId="0" applyNumberFormat="1" applyFont="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7" xfId="0" applyNumberFormat="1" applyFont="1" applyFill="1" applyBorder="1" applyAlignment="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lignment horizontal="center" vertical="center" shrinkToFit="1"/>
    </xf>
    <xf numFmtId="0" fontId="105" fillId="25" borderId="160" xfId="0" applyFont="1" applyFill="1" applyBorder="1" applyAlignment="1">
      <alignment horizontal="center" vertical="center" shrinkToFit="1"/>
    </xf>
    <xf numFmtId="0" fontId="95" fillId="0" borderId="189" xfId="0" applyFont="1" applyBorder="1" applyAlignment="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lignment horizontal="right" vertical="center"/>
    </xf>
    <xf numFmtId="177" fontId="72" fillId="0" borderId="148" xfId="0" applyNumberFormat="1" applyFont="1" applyBorder="1" applyAlignment="1">
      <alignment horizontal="right" vertical="center"/>
    </xf>
    <xf numFmtId="0" fontId="95" fillId="0" borderId="186"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209" xfId="0" applyFont="1" applyBorder="1" applyAlignment="1">
      <alignment horizontal="center" vertical="center" wrapText="1"/>
    </xf>
    <xf numFmtId="0" fontId="95" fillId="0" borderId="199" xfId="0" applyFont="1" applyBorder="1" applyAlignment="1">
      <alignment horizontal="center" vertical="center" wrapText="1"/>
    </xf>
    <xf numFmtId="0" fontId="95" fillId="0" borderId="210"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lignment horizontal="right" vertical="center"/>
    </xf>
    <xf numFmtId="177" fontId="49" fillId="0" borderId="100" xfId="0" applyNumberFormat="1" applyFont="1" applyBorder="1" applyAlignment="1">
      <alignment horizontal="right" vertical="center"/>
    </xf>
    <xf numFmtId="177" fontId="49" fillId="0" borderId="183" xfId="0" applyNumberFormat="1" applyFont="1" applyBorder="1" applyAlignment="1">
      <alignment horizontal="center" vertical="center"/>
    </xf>
    <xf numFmtId="177" fontId="49" fillId="0" borderId="184" xfId="0" applyNumberFormat="1" applyFont="1" applyBorder="1" applyAlignment="1">
      <alignment horizontal="center" vertical="center"/>
    </xf>
    <xf numFmtId="177" fontId="72" fillId="0" borderId="144"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lignment horizontal="center" vertical="center" wrapText="1"/>
    </xf>
    <xf numFmtId="0" fontId="72" fillId="25" borderId="158" xfId="0" applyFont="1" applyFill="1" applyBorder="1" applyAlignment="1">
      <alignment horizontal="center" vertical="center" wrapText="1"/>
    </xf>
    <xf numFmtId="0" fontId="49" fillId="25" borderId="76" xfId="0" applyFont="1" applyFill="1" applyBorder="1" applyAlignment="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8" xfId="0" applyNumberFormat="1" applyFont="1" applyFill="1" applyBorder="1" applyAlignment="1">
      <alignment horizontal="right" vertical="center"/>
    </xf>
    <xf numFmtId="177" fontId="49" fillId="0" borderId="185" xfId="0" applyNumberFormat="1" applyFont="1" applyBorder="1" applyAlignment="1">
      <alignment horizontal="center" vertical="center"/>
    </xf>
    <xf numFmtId="177" fontId="49" fillId="0" borderId="154" xfId="0" applyNumberFormat="1" applyFont="1" applyBorder="1" applyAlignment="1">
      <alignment horizontal="center" vertical="center"/>
    </xf>
    <xf numFmtId="177" fontId="49" fillId="0" borderId="13" xfId="0" applyNumberFormat="1" applyFont="1" applyBorder="1" applyAlignment="1">
      <alignment horizontal="right" vertical="center"/>
    </xf>
    <xf numFmtId="177" fontId="49" fillId="0" borderId="147" xfId="0" applyNumberFormat="1" applyFont="1" applyBorder="1" applyAlignment="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lignment horizontal="right" vertical="center"/>
    </xf>
    <xf numFmtId="177" fontId="49" fillId="34" borderId="147" xfId="0" applyNumberFormat="1" applyFont="1" applyFill="1" applyBorder="1" applyAlignment="1">
      <alignment horizontal="right" vertical="center"/>
    </xf>
    <xf numFmtId="177" fontId="49" fillId="34" borderId="119" xfId="0" applyNumberFormat="1" applyFont="1" applyFill="1" applyBorder="1" applyAlignment="1">
      <alignment horizontal="right" vertical="center"/>
    </xf>
    <xf numFmtId="177" fontId="49" fillId="34" borderId="75" xfId="0" applyNumberFormat="1" applyFont="1" applyFill="1" applyBorder="1" applyAlignment="1">
      <alignment horizontal="right" vertical="center"/>
    </xf>
    <xf numFmtId="0" fontId="95" fillId="25" borderId="186" xfId="0" applyFont="1" applyFill="1" applyBorder="1" applyAlignment="1">
      <alignment horizontal="right" vertical="center"/>
    </xf>
    <xf numFmtId="0" fontId="95" fillId="0" borderId="186" xfId="0" applyFont="1" applyBorder="1" applyAlignment="1">
      <alignment horizontal="left" vertical="center" wrapText="1"/>
    </xf>
    <xf numFmtId="0" fontId="95" fillId="0" borderId="190" xfId="0" applyFont="1" applyBorder="1" applyAlignment="1">
      <alignment horizontal="left" vertical="center" wrapText="1"/>
    </xf>
    <xf numFmtId="0" fontId="96" fillId="0" borderId="193" xfId="0" applyFont="1" applyBorder="1" applyAlignment="1">
      <alignment horizontal="center" vertical="center"/>
    </xf>
    <xf numFmtId="0" fontId="96" fillId="0" borderId="202" xfId="0" applyFont="1" applyBorder="1" applyAlignment="1">
      <alignment horizontal="center" vertical="center"/>
    </xf>
    <xf numFmtId="0" fontId="96" fillId="0" borderId="198" xfId="0" applyFont="1" applyBorder="1" applyAlignment="1">
      <alignment horizontal="center" vertical="center"/>
    </xf>
    <xf numFmtId="0" fontId="96" fillId="0" borderId="197" xfId="0" applyFont="1" applyBorder="1" applyAlignment="1">
      <alignment horizontal="center" vertical="center"/>
    </xf>
    <xf numFmtId="0" fontId="96" fillId="0" borderId="187" xfId="0" applyFont="1" applyBorder="1" applyAlignment="1">
      <alignment horizontal="center" vertical="center" wrapText="1"/>
    </xf>
    <xf numFmtId="0" fontId="96" fillId="0" borderId="189" xfId="0" applyFont="1" applyBorder="1" applyAlignment="1">
      <alignment horizontal="center" vertical="center" wrapText="1"/>
    </xf>
    <xf numFmtId="0" fontId="96" fillId="0" borderId="200" xfId="0" applyFont="1" applyBorder="1" applyAlignment="1">
      <alignment horizontal="center" vertical="center"/>
    </xf>
    <xf numFmtId="0" fontId="96" fillId="0" borderId="201" xfId="0" applyFont="1" applyBorder="1" applyAlignment="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5109310" y="495359"/>
          <a:ext cx="5590744" cy="135306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3665" y="38093788"/>
              <a:ext cx="163168" cy="18624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3665" y="40993391"/>
              <a:ext cx="163168"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3665" y="33599783"/>
              <a:ext cx="163168" cy="22639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3665" y="39756522"/>
              <a:ext cx="163168" cy="26504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3665" y="13798826"/>
              <a:ext cx="163168" cy="1645414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3665" y="40024233"/>
              <a:ext cx="163168" cy="96915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3665" y="33483826"/>
              <a:ext cx="163168"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3665" y="23102957"/>
              <a:ext cx="163168" cy="29091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3665" y="26018435"/>
              <a:ext cx="163168" cy="3074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1448" y="29132696"/>
              <a:ext cx="163167" cy="27130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17310" y="181309"/>
          <a:ext cx="4177474" cy="1178563"/>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3665" y="40993391"/>
              <a:ext cx="163168"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1665" y="43792913"/>
              <a:ext cx="196298" cy="2403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1665" y="43792913"/>
              <a:ext cx="196298" cy="24033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25400</xdr:rowOff>
        </xdr:from>
        <xdr:to>
          <xdr:col>2</xdr:col>
          <xdr:colOff>101600</xdr:colOff>
          <xdr:row>36</xdr:row>
          <xdr:rowOff>222250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69850</xdr:rowOff>
        </xdr:from>
        <xdr:to>
          <xdr:col>6</xdr:col>
          <xdr:colOff>25400</xdr:colOff>
          <xdr:row>43</xdr:row>
          <xdr:rowOff>273050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43</xdr:row>
          <xdr:rowOff>69850</xdr:rowOff>
        </xdr:from>
        <xdr:to>
          <xdr:col>10</xdr:col>
          <xdr:colOff>31750</xdr:colOff>
          <xdr:row>43</xdr:row>
          <xdr:rowOff>273050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184150</xdr:colOff>
          <xdr:row>43</xdr:row>
          <xdr:rowOff>69850</xdr:rowOff>
        </xdr:from>
        <xdr:to>
          <xdr:col>16</xdr:col>
          <xdr:colOff>31750</xdr:colOff>
          <xdr:row>43</xdr:row>
          <xdr:rowOff>273050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184150</xdr:colOff>
          <xdr:row>43</xdr:row>
          <xdr:rowOff>69850</xdr:rowOff>
        </xdr:from>
        <xdr:to>
          <xdr:col>23</xdr:col>
          <xdr:colOff>31750</xdr:colOff>
          <xdr:row>43</xdr:row>
          <xdr:rowOff>273050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43</xdr:row>
          <xdr:rowOff>69850</xdr:rowOff>
        </xdr:from>
        <xdr:to>
          <xdr:col>27</xdr:col>
          <xdr:colOff>25400</xdr:colOff>
          <xdr:row>43</xdr:row>
          <xdr:rowOff>273050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222250</xdr:rowOff>
        </xdr:from>
        <xdr:to>
          <xdr:col>6</xdr:col>
          <xdr:colOff>25400</xdr:colOff>
          <xdr:row>46</xdr:row>
          <xdr:rowOff>25400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184150</xdr:colOff>
          <xdr:row>44</xdr:row>
          <xdr:rowOff>228600</xdr:rowOff>
        </xdr:from>
        <xdr:to>
          <xdr:col>13</xdr:col>
          <xdr:colOff>31750</xdr:colOff>
          <xdr:row>46</xdr:row>
          <xdr:rowOff>25400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184150</xdr:colOff>
          <xdr:row>44</xdr:row>
          <xdr:rowOff>228600</xdr:rowOff>
        </xdr:from>
        <xdr:to>
          <xdr:col>20</xdr:col>
          <xdr:colOff>31750</xdr:colOff>
          <xdr:row>46</xdr:row>
          <xdr:rowOff>25400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31750</xdr:rowOff>
        </xdr:from>
        <xdr:to>
          <xdr:col>23</xdr:col>
          <xdr:colOff>31750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184150</xdr:colOff>
          <xdr:row>53</xdr:row>
          <xdr:rowOff>31750</xdr:rowOff>
        </xdr:from>
        <xdr:to>
          <xdr:col>27</xdr:col>
          <xdr:colOff>31750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6350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97</xdr:row>
          <xdr:rowOff>6350</xdr:rowOff>
        </xdr:from>
        <xdr:to>
          <xdr:col>3</xdr:col>
          <xdr:colOff>107950</xdr:colOff>
          <xdr:row>97</xdr:row>
          <xdr:rowOff>222250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44450</xdr:rowOff>
        </xdr:from>
        <xdr:to>
          <xdr:col>13</xdr:col>
          <xdr:colOff>107950</xdr:colOff>
          <xdr:row>102</xdr:row>
          <xdr:rowOff>273050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104</xdr:row>
          <xdr:rowOff>196850</xdr:rowOff>
        </xdr:from>
        <xdr:to>
          <xdr:col>3</xdr:col>
          <xdr:colOff>107950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82550</xdr:colOff>
          <xdr:row>113</xdr:row>
          <xdr:rowOff>44450</xdr:rowOff>
        </xdr:from>
        <xdr:to>
          <xdr:col>13</xdr:col>
          <xdr:colOff>107950</xdr:colOff>
          <xdr:row>113</xdr:row>
          <xdr:rowOff>260350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117</xdr:row>
          <xdr:rowOff>31750</xdr:rowOff>
        </xdr:from>
        <xdr:to>
          <xdr:col>2</xdr:col>
          <xdr:colOff>76200</xdr:colOff>
          <xdr:row>117</xdr:row>
          <xdr:rowOff>254000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63500</xdr:rowOff>
        </xdr:from>
        <xdr:to>
          <xdr:col>13</xdr:col>
          <xdr:colOff>107950</xdr:colOff>
          <xdr:row>124</xdr:row>
          <xdr:rowOff>298450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222250</xdr:rowOff>
        </xdr:from>
        <xdr:to>
          <xdr:col>8</xdr:col>
          <xdr:colOff>31750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234950</xdr:rowOff>
        </xdr:from>
        <xdr:to>
          <xdr:col>8</xdr:col>
          <xdr:colOff>31750</xdr:colOff>
          <xdr:row>110</xdr:row>
          <xdr:rowOff>215900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6350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336550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146050</xdr:rowOff>
        </xdr:from>
        <xdr:to>
          <xdr:col>7</xdr:col>
          <xdr:colOff>0</xdr:colOff>
          <xdr:row>121</xdr:row>
          <xdr:rowOff>336550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25400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158750</xdr:rowOff>
        </xdr:from>
        <xdr:to>
          <xdr:col>6</xdr:col>
          <xdr:colOff>0</xdr:colOff>
          <xdr:row>155</xdr:row>
          <xdr:rowOff>31750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31750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31750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260350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298450</xdr:rowOff>
        </xdr:from>
        <xdr:to>
          <xdr:col>6</xdr:col>
          <xdr:colOff>0</xdr:colOff>
          <xdr:row>159</xdr:row>
          <xdr:rowOff>31750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146050</xdr:rowOff>
        </xdr:from>
        <xdr:to>
          <xdr:col>6</xdr:col>
          <xdr:colOff>0</xdr:colOff>
          <xdr:row>160</xdr:row>
          <xdr:rowOff>31750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146050</xdr:rowOff>
        </xdr:from>
        <xdr:to>
          <xdr:col>6</xdr:col>
          <xdr:colOff>0</xdr:colOff>
          <xdr:row>161</xdr:row>
          <xdr:rowOff>31750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146050</xdr:rowOff>
        </xdr:from>
        <xdr:to>
          <xdr:col>6</xdr:col>
          <xdr:colOff>0</xdr:colOff>
          <xdr:row>162</xdr:row>
          <xdr:rowOff>31750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31750</xdr:rowOff>
        </xdr:from>
        <xdr:to>
          <xdr:col>6</xdr:col>
          <xdr:colOff>0</xdr:colOff>
          <xdr:row>162</xdr:row>
          <xdr:rowOff>254000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31750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146050</xdr:rowOff>
        </xdr:from>
        <xdr:to>
          <xdr:col>6</xdr:col>
          <xdr:colOff>0</xdr:colOff>
          <xdr:row>165</xdr:row>
          <xdr:rowOff>31750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31750</xdr:rowOff>
        </xdr:from>
        <xdr:to>
          <xdr:col>6</xdr:col>
          <xdr:colOff>0</xdr:colOff>
          <xdr:row>165</xdr:row>
          <xdr:rowOff>254000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260350</xdr:rowOff>
        </xdr:from>
        <xdr:to>
          <xdr:col>6</xdr:col>
          <xdr:colOff>0</xdr:colOff>
          <xdr:row>167</xdr:row>
          <xdr:rowOff>31750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146050</xdr:rowOff>
        </xdr:from>
        <xdr:to>
          <xdr:col>6</xdr:col>
          <xdr:colOff>0</xdr:colOff>
          <xdr:row>168</xdr:row>
          <xdr:rowOff>31750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146050</xdr:rowOff>
        </xdr:from>
        <xdr:to>
          <xdr:col>6</xdr:col>
          <xdr:colOff>0</xdr:colOff>
          <xdr:row>169</xdr:row>
          <xdr:rowOff>31750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146050</xdr:rowOff>
        </xdr:from>
        <xdr:to>
          <xdr:col>6</xdr:col>
          <xdr:colOff>0</xdr:colOff>
          <xdr:row>170</xdr:row>
          <xdr:rowOff>31750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31750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260350</xdr:rowOff>
        </xdr:from>
        <xdr:to>
          <xdr:col>6</xdr:col>
          <xdr:colOff>0</xdr:colOff>
          <xdr:row>172</xdr:row>
          <xdr:rowOff>31750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146050</xdr:rowOff>
        </xdr:from>
        <xdr:to>
          <xdr:col>6</xdr:col>
          <xdr:colOff>0</xdr:colOff>
          <xdr:row>173</xdr:row>
          <xdr:rowOff>31750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146050</xdr:rowOff>
        </xdr:from>
        <xdr:to>
          <xdr:col>6</xdr:col>
          <xdr:colOff>0</xdr:colOff>
          <xdr:row>174</xdr:row>
          <xdr:rowOff>31750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146050</xdr:rowOff>
        </xdr:from>
        <xdr:to>
          <xdr:col>6</xdr:col>
          <xdr:colOff>0</xdr:colOff>
          <xdr:row>175</xdr:row>
          <xdr:rowOff>31750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146050</xdr:rowOff>
        </xdr:from>
        <xdr:to>
          <xdr:col>6</xdr:col>
          <xdr:colOff>0</xdr:colOff>
          <xdr:row>176</xdr:row>
          <xdr:rowOff>31750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146050</xdr:rowOff>
        </xdr:from>
        <xdr:to>
          <xdr:col>6</xdr:col>
          <xdr:colOff>0</xdr:colOff>
          <xdr:row>177</xdr:row>
          <xdr:rowOff>31750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196850</xdr:colOff>
          <xdr:row>180</xdr:row>
          <xdr:rowOff>44450</xdr:rowOff>
        </xdr:from>
        <xdr:to>
          <xdr:col>6</xdr:col>
          <xdr:colOff>6350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196850</xdr:colOff>
          <xdr:row>181</xdr:row>
          <xdr:rowOff>6350</xdr:rowOff>
        </xdr:from>
        <xdr:to>
          <xdr:col>6</xdr:col>
          <xdr:colOff>25400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186</xdr:row>
          <xdr:rowOff>44450</xdr:rowOff>
        </xdr:from>
        <xdr:to>
          <xdr:col>1</xdr:col>
          <xdr:colOff>222250</xdr:colOff>
          <xdr:row>186</xdr:row>
          <xdr:rowOff>260350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187</xdr:row>
          <xdr:rowOff>114300</xdr:rowOff>
        </xdr:from>
        <xdr:to>
          <xdr:col>1</xdr:col>
          <xdr:colOff>215900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188</xdr:row>
          <xdr:rowOff>107950</xdr:rowOff>
        </xdr:from>
        <xdr:to>
          <xdr:col>1</xdr:col>
          <xdr:colOff>222250</xdr:colOff>
          <xdr:row>188</xdr:row>
          <xdr:rowOff>336550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189</xdr:row>
          <xdr:rowOff>25400</xdr:rowOff>
        </xdr:from>
        <xdr:to>
          <xdr:col>1</xdr:col>
          <xdr:colOff>222250</xdr:colOff>
          <xdr:row>189</xdr:row>
          <xdr:rowOff>254000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25400</xdr:rowOff>
        </xdr:from>
        <xdr:to>
          <xdr:col>1</xdr:col>
          <xdr:colOff>222250</xdr:colOff>
          <xdr:row>190</xdr:row>
          <xdr:rowOff>254000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190</xdr:row>
          <xdr:rowOff>266700</xdr:rowOff>
        </xdr:from>
        <xdr:to>
          <xdr:col>1</xdr:col>
          <xdr:colOff>222250</xdr:colOff>
          <xdr:row>192</xdr:row>
          <xdr:rowOff>31750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82550</xdr:colOff>
          <xdr:row>74</xdr:row>
          <xdr:rowOff>31750</xdr:rowOff>
        </xdr:from>
        <xdr:to>
          <xdr:col>3</xdr:col>
          <xdr:colOff>107950</xdr:colOff>
          <xdr:row>74</xdr:row>
          <xdr:rowOff>254000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133</xdr:row>
          <xdr:rowOff>146050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134</xdr:row>
          <xdr:rowOff>158750</xdr:rowOff>
        </xdr:from>
        <xdr:to>
          <xdr:col>2</xdr:col>
          <xdr:colOff>177800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31750</xdr:rowOff>
        </xdr:from>
        <xdr:to>
          <xdr:col>2</xdr:col>
          <xdr:colOff>177800</xdr:colOff>
          <xdr:row>136</xdr:row>
          <xdr:rowOff>311150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222250</xdr:colOff>
          <xdr:row>136</xdr:row>
          <xdr:rowOff>298450</xdr:rowOff>
        </xdr:from>
        <xdr:to>
          <xdr:col>2</xdr:col>
          <xdr:colOff>177800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36230" y="198695"/>
          <a:ext cx="6335250" cy="3564945"/>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069344" y="461326"/>
          <a:ext cx="4177429" cy="110699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16353" y="473189"/>
          <a:ext cx="7806434" cy="122356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419588" y="517415"/>
          <a:ext cx="4625687" cy="1006772"/>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784243" y="584056"/>
          <a:ext cx="8708767" cy="16843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720701" y="530935"/>
          <a:ext cx="4085870"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666484" y="430323"/>
          <a:ext cx="10687567" cy="19767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election activeCell="AA65" sqref="AA65"/>
    </sheetView>
  </sheetViews>
  <sheetFormatPr defaultColWidth="9" defaultRowHeight="20.149999999999999" customHeight="1"/>
  <cols>
    <col min="1" max="1" width="4.6328125" customWidth="1"/>
    <col min="2" max="2" width="11" customWidth="1"/>
    <col min="3" max="22" width="2.6328125" customWidth="1"/>
    <col min="23" max="23" width="12.6328125" customWidth="1"/>
    <col min="24" max="24" width="25" customWidth="1"/>
    <col min="25" max="25" width="22.453125" customWidth="1"/>
    <col min="26" max="28" width="21.90625" customWidth="1"/>
    <col min="29" max="29" width="14.6328125" bestFit="1" customWidth="1"/>
    <col min="30" max="30" width="4.6328125" customWidth="1"/>
    <col min="31" max="31" width="9" hidden="1" customWidth="1"/>
    <col min="32" max="33" width="9" customWidth="1"/>
  </cols>
  <sheetData>
    <row r="1" spans="1:29" ht="20.149999999999999" customHeight="1">
      <c r="A1" s="415" t="s">
        <v>2384</v>
      </c>
    </row>
    <row r="2" spans="1:29" ht="9" customHeight="1">
      <c r="A2" s="372"/>
    </row>
    <row r="3" spans="1:29" ht="20.149999999999999"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7" t="s">
        <v>2389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49999999999999"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49999999999999"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49999999999999"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49999999999999"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49999999999999"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49999999999999"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7" t="s">
        <v>2390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49999999999999"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49999999999999"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49999999999999" customHeight="1" thickBot="1">
      <c r="A33" s="186"/>
      <c r="B33" s="421" t="s">
        <v>139</v>
      </c>
      <c r="C33" s="767" t="s">
        <v>2420</v>
      </c>
      <c r="D33" s="768"/>
      <c r="E33" s="768"/>
      <c r="F33" s="768"/>
      <c r="G33" s="768"/>
      <c r="H33" s="768"/>
      <c r="I33" s="768"/>
      <c r="J33" s="768"/>
      <c r="K33" s="768"/>
      <c r="L33" s="769"/>
      <c r="M33" s="186"/>
      <c r="N33" s="186"/>
      <c r="O33" s="186"/>
      <c r="P33" s="186"/>
      <c r="Q33" s="186"/>
      <c r="R33" s="186"/>
      <c r="S33" s="186"/>
      <c r="T33" s="186"/>
      <c r="U33" s="186"/>
      <c r="V33" s="186"/>
      <c r="W33" s="186"/>
      <c r="X33" s="186"/>
      <c r="Y33" s="186"/>
      <c r="Z33" s="186"/>
      <c r="AA33" s="186"/>
      <c r="AB33" s="186"/>
      <c r="AC33" s="186"/>
      <c r="AE33" s="420" t="str">
        <f>CONCATENATE(M39,N39,O39,P39,Q39,R39,S39,T39)</f>
        <v>100－1234</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49999999999999"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49999999999999"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49999999999999" customHeight="1">
      <c r="A37" s="186"/>
      <c r="B37" s="424" t="s">
        <v>5</v>
      </c>
      <c r="C37" s="696" t="s">
        <v>7</v>
      </c>
      <c r="D37" s="696"/>
      <c r="E37" s="696"/>
      <c r="F37" s="696"/>
      <c r="G37" s="696"/>
      <c r="H37" s="696"/>
      <c r="I37" s="696"/>
      <c r="J37" s="696"/>
      <c r="K37" s="696"/>
      <c r="L37" s="697"/>
      <c r="M37" s="725" t="s">
        <v>2421</v>
      </c>
      <c r="N37" s="726"/>
      <c r="O37" s="726"/>
      <c r="P37" s="726"/>
      <c r="Q37" s="726"/>
      <c r="R37" s="726"/>
      <c r="S37" s="726"/>
      <c r="T37" s="726"/>
      <c r="U37" s="726"/>
      <c r="V37" s="726"/>
      <c r="W37" s="727"/>
      <c r="X37" s="728"/>
      <c r="Y37" s="186"/>
      <c r="Z37" s="186"/>
      <c r="AA37" s="186"/>
      <c r="AB37" s="186"/>
      <c r="AC37" s="186"/>
    </row>
    <row r="38" spans="1:31" ht="20.149999999999999" customHeight="1" thickBot="1">
      <c r="A38" s="186"/>
      <c r="B38" s="425"/>
      <c r="C38" s="696" t="s">
        <v>55</v>
      </c>
      <c r="D38" s="696"/>
      <c r="E38" s="696"/>
      <c r="F38" s="696"/>
      <c r="G38" s="696"/>
      <c r="H38" s="696"/>
      <c r="I38" s="696"/>
      <c r="J38" s="696"/>
      <c r="K38" s="696"/>
      <c r="L38" s="697"/>
      <c r="M38" s="729" t="s">
        <v>2421</v>
      </c>
      <c r="N38" s="730"/>
      <c r="O38" s="730"/>
      <c r="P38" s="730"/>
      <c r="Q38" s="730"/>
      <c r="R38" s="730"/>
      <c r="S38" s="730"/>
      <c r="T38" s="730"/>
      <c r="U38" s="730"/>
      <c r="V38" s="730"/>
      <c r="W38" s="730"/>
      <c r="X38" s="731"/>
      <c r="Y38" s="186"/>
      <c r="Z38" s="186"/>
      <c r="AA38" s="186"/>
      <c r="AB38" s="186"/>
      <c r="AC38" s="186"/>
    </row>
    <row r="39" spans="1:31" ht="20.149999999999999" customHeight="1" thickBot="1">
      <c r="A39" s="186"/>
      <c r="B39" s="424" t="s">
        <v>56</v>
      </c>
      <c r="C39" s="696" t="s">
        <v>6</v>
      </c>
      <c r="D39" s="696"/>
      <c r="E39" s="696"/>
      <c r="F39" s="696"/>
      <c r="G39" s="696"/>
      <c r="H39" s="696"/>
      <c r="I39" s="696"/>
      <c r="J39" s="696"/>
      <c r="K39" s="696"/>
      <c r="L39" s="697"/>
      <c r="M39" s="14">
        <v>1</v>
      </c>
      <c r="N39" s="15">
        <v>0</v>
      </c>
      <c r="O39" s="15">
        <v>0</v>
      </c>
      <c r="P39" s="426" t="s">
        <v>62</v>
      </c>
      <c r="Q39" s="15">
        <v>1</v>
      </c>
      <c r="R39" s="15">
        <v>2</v>
      </c>
      <c r="S39" s="15">
        <v>3</v>
      </c>
      <c r="T39" s="16">
        <v>4</v>
      </c>
      <c r="U39" s="427"/>
      <c r="V39" s="428"/>
      <c r="W39" s="428"/>
      <c r="X39" s="428"/>
      <c r="Y39" s="186"/>
      <c r="Z39" s="186"/>
      <c r="AA39" s="186"/>
      <c r="AB39" s="186"/>
      <c r="AC39" s="186"/>
    </row>
    <row r="40" spans="1:31" ht="20.149999999999999" customHeight="1">
      <c r="A40" s="186"/>
      <c r="B40" s="429"/>
      <c r="C40" s="696" t="s">
        <v>60</v>
      </c>
      <c r="D40" s="696"/>
      <c r="E40" s="696"/>
      <c r="F40" s="696"/>
      <c r="G40" s="696"/>
      <c r="H40" s="696"/>
      <c r="I40" s="696"/>
      <c r="J40" s="696"/>
      <c r="K40" s="696"/>
      <c r="L40" s="697"/>
      <c r="M40" s="732" t="s">
        <v>2422</v>
      </c>
      <c r="N40" s="733"/>
      <c r="O40" s="733"/>
      <c r="P40" s="733"/>
      <c r="Q40" s="733"/>
      <c r="R40" s="733"/>
      <c r="S40" s="733"/>
      <c r="T40" s="733"/>
      <c r="U40" s="734"/>
      <c r="V40" s="734"/>
      <c r="W40" s="735"/>
      <c r="X40" s="736"/>
      <c r="Y40" s="186"/>
      <c r="Z40" s="186"/>
      <c r="AA40" s="186"/>
      <c r="AB40" s="186"/>
      <c r="AC40" s="186"/>
    </row>
    <row r="41" spans="1:31" ht="20.149999999999999" customHeight="1">
      <c r="A41" s="186"/>
      <c r="B41" s="425"/>
      <c r="C41" s="696" t="s">
        <v>61</v>
      </c>
      <c r="D41" s="696"/>
      <c r="E41" s="696"/>
      <c r="F41" s="696"/>
      <c r="G41" s="696"/>
      <c r="H41" s="696"/>
      <c r="I41" s="696"/>
      <c r="J41" s="696"/>
      <c r="K41" s="696"/>
      <c r="L41" s="697"/>
      <c r="M41" s="732" t="s">
        <v>2423</v>
      </c>
      <c r="N41" s="733"/>
      <c r="O41" s="733"/>
      <c r="P41" s="733"/>
      <c r="Q41" s="733"/>
      <c r="R41" s="733"/>
      <c r="S41" s="733"/>
      <c r="T41" s="733"/>
      <c r="U41" s="733"/>
      <c r="V41" s="733"/>
      <c r="W41" s="737"/>
      <c r="X41" s="738"/>
      <c r="Y41" s="186"/>
      <c r="Z41" s="186"/>
      <c r="AA41" s="186"/>
      <c r="AB41" s="186"/>
      <c r="AC41" s="186"/>
    </row>
    <row r="42" spans="1:31" ht="20.149999999999999" customHeight="1">
      <c r="A42" s="186"/>
      <c r="B42" s="424" t="s">
        <v>57</v>
      </c>
      <c r="C42" s="696" t="s">
        <v>52</v>
      </c>
      <c r="D42" s="696"/>
      <c r="E42" s="696"/>
      <c r="F42" s="696"/>
      <c r="G42" s="696"/>
      <c r="H42" s="696"/>
      <c r="I42" s="696"/>
      <c r="J42" s="696"/>
      <c r="K42" s="696"/>
      <c r="L42" s="697"/>
      <c r="M42" s="699" t="s">
        <v>2424</v>
      </c>
      <c r="N42" s="700"/>
      <c r="O42" s="700"/>
      <c r="P42" s="700"/>
      <c r="Q42" s="700"/>
      <c r="R42" s="700"/>
      <c r="S42" s="700"/>
      <c r="T42" s="700"/>
      <c r="U42" s="700"/>
      <c r="V42" s="700"/>
      <c r="W42" s="701"/>
      <c r="X42" s="702"/>
      <c r="Y42" s="186"/>
      <c r="Z42" s="186"/>
      <c r="AA42" s="186"/>
      <c r="AB42" s="186"/>
      <c r="AC42" s="186"/>
    </row>
    <row r="43" spans="1:31" ht="20.149999999999999" customHeight="1">
      <c r="A43" s="186"/>
      <c r="B43" s="425"/>
      <c r="C43" s="696" t="s">
        <v>53</v>
      </c>
      <c r="D43" s="696"/>
      <c r="E43" s="696"/>
      <c r="F43" s="696"/>
      <c r="G43" s="696"/>
      <c r="H43" s="696"/>
      <c r="I43" s="696"/>
      <c r="J43" s="696"/>
      <c r="K43" s="696"/>
      <c r="L43" s="697"/>
      <c r="M43" s="751" t="s">
        <v>2425</v>
      </c>
      <c r="N43" s="752"/>
      <c r="O43" s="752"/>
      <c r="P43" s="752"/>
      <c r="Q43" s="752"/>
      <c r="R43" s="752"/>
      <c r="S43" s="752"/>
      <c r="T43" s="752"/>
      <c r="U43" s="752"/>
      <c r="V43" s="752"/>
      <c r="W43" s="753"/>
      <c r="X43" s="754"/>
      <c r="Y43" s="186"/>
      <c r="Z43" s="186"/>
      <c r="AA43" s="186"/>
      <c r="AB43" s="186"/>
      <c r="AC43" s="186"/>
    </row>
    <row r="44" spans="1:31" ht="20.149999999999999" customHeight="1">
      <c r="A44" s="186"/>
      <c r="B44" s="755" t="s">
        <v>77</v>
      </c>
      <c r="C44" s="696" t="s">
        <v>7</v>
      </c>
      <c r="D44" s="696"/>
      <c r="E44" s="696"/>
      <c r="F44" s="696"/>
      <c r="G44" s="696"/>
      <c r="H44" s="696"/>
      <c r="I44" s="696"/>
      <c r="J44" s="696"/>
      <c r="K44" s="696"/>
      <c r="L44" s="697"/>
      <c r="M44" s="699" t="s">
        <v>2426</v>
      </c>
      <c r="N44" s="700"/>
      <c r="O44" s="700"/>
      <c r="P44" s="700"/>
      <c r="Q44" s="700"/>
      <c r="R44" s="700"/>
      <c r="S44" s="700"/>
      <c r="T44" s="700"/>
      <c r="U44" s="700"/>
      <c r="V44" s="700"/>
      <c r="W44" s="701"/>
      <c r="X44" s="702"/>
      <c r="Y44" s="186"/>
      <c r="Z44" s="186"/>
      <c r="AA44" s="186"/>
      <c r="AB44" s="186"/>
      <c r="AC44" s="186"/>
    </row>
    <row r="45" spans="1:31" ht="20.149999999999999" customHeight="1">
      <c r="A45" s="186"/>
      <c r="B45" s="756"/>
      <c r="C45" s="698" t="s">
        <v>53</v>
      </c>
      <c r="D45" s="698"/>
      <c r="E45" s="698"/>
      <c r="F45" s="698"/>
      <c r="G45" s="698"/>
      <c r="H45" s="698"/>
      <c r="I45" s="698"/>
      <c r="J45" s="698"/>
      <c r="K45" s="698"/>
      <c r="L45" s="698"/>
      <c r="M45" s="699" t="s">
        <v>2427</v>
      </c>
      <c r="N45" s="700"/>
      <c r="O45" s="700"/>
      <c r="P45" s="700"/>
      <c r="Q45" s="700"/>
      <c r="R45" s="700"/>
      <c r="S45" s="700"/>
      <c r="T45" s="700"/>
      <c r="U45" s="700"/>
      <c r="V45" s="700"/>
      <c r="W45" s="701"/>
      <c r="X45" s="702"/>
      <c r="Y45" s="186"/>
      <c r="Z45" s="186"/>
      <c r="AA45" s="186"/>
      <c r="AB45" s="186"/>
      <c r="AC45" s="186"/>
    </row>
    <row r="46" spans="1:31" ht="20.149999999999999" customHeight="1">
      <c r="A46" s="186"/>
      <c r="B46" s="424" t="s">
        <v>76</v>
      </c>
      <c r="C46" s="696" t="s">
        <v>0</v>
      </c>
      <c r="D46" s="696"/>
      <c r="E46" s="696"/>
      <c r="F46" s="696"/>
      <c r="G46" s="696"/>
      <c r="H46" s="696"/>
      <c r="I46" s="696"/>
      <c r="J46" s="696"/>
      <c r="K46" s="696"/>
      <c r="L46" s="697"/>
      <c r="M46" s="739" t="s">
        <v>2428</v>
      </c>
      <c r="N46" s="740"/>
      <c r="O46" s="740"/>
      <c r="P46" s="740"/>
      <c r="Q46" s="740"/>
      <c r="R46" s="740"/>
      <c r="S46" s="740"/>
      <c r="T46" s="740"/>
      <c r="U46" s="740"/>
      <c r="V46" s="740"/>
      <c r="W46" s="741"/>
      <c r="X46" s="742"/>
      <c r="Y46" s="186"/>
      <c r="Z46" s="186"/>
      <c r="AA46" s="186"/>
      <c r="AB46" s="186"/>
      <c r="AC46" s="186"/>
    </row>
    <row r="47" spans="1:31" ht="20.149999999999999" customHeight="1" thickBot="1">
      <c r="A47" s="186"/>
      <c r="B47" s="430"/>
      <c r="C47" s="696" t="s">
        <v>73</v>
      </c>
      <c r="D47" s="696"/>
      <c r="E47" s="696"/>
      <c r="F47" s="696"/>
      <c r="G47" s="696"/>
      <c r="H47" s="696"/>
      <c r="I47" s="696"/>
      <c r="J47" s="696"/>
      <c r="K47" s="696"/>
      <c r="L47" s="697"/>
      <c r="M47" s="770" t="s">
        <v>2429</v>
      </c>
      <c r="N47" s="771"/>
      <c r="O47" s="771"/>
      <c r="P47" s="771"/>
      <c r="Q47" s="771"/>
      <c r="R47" s="771"/>
      <c r="S47" s="771"/>
      <c r="T47" s="771"/>
      <c r="U47" s="771"/>
      <c r="V47" s="771"/>
      <c r="W47" s="772"/>
      <c r="X47" s="773"/>
      <c r="Y47" s="186"/>
      <c r="Z47" s="186"/>
      <c r="AA47" s="186"/>
      <c r="AB47" s="186"/>
      <c r="AC47" s="186"/>
    </row>
    <row r="48" spans="1:31" ht="20.149999999999999"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49999999999999"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49999999999999"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2"/>
    </row>
    <row r="52" spans="1:30" ht="27" customHeight="1">
      <c r="A52" s="186"/>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86"/>
      <c r="B53" s="714"/>
      <c r="C53" s="717"/>
      <c r="D53" s="717"/>
      <c r="E53" s="717"/>
      <c r="F53" s="717"/>
      <c r="G53" s="717"/>
      <c r="H53" s="717"/>
      <c r="I53" s="717"/>
      <c r="J53" s="717"/>
      <c r="K53" s="717"/>
      <c r="L53" s="718"/>
      <c r="M53" s="721"/>
      <c r="N53" s="717"/>
      <c r="O53" s="717"/>
      <c r="P53" s="717"/>
      <c r="Q53" s="718"/>
      <c r="R53" s="719" t="s">
        <v>90</v>
      </c>
      <c r="S53" s="710"/>
      <c r="T53" s="710"/>
      <c r="U53" s="710"/>
      <c r="V53" s="710"/>
      <c r="W53" s="433" t="s">
        <v>91</v>
      </c>
      <c r="X53" s="710"/>
      <c r="Y53" s="710"/>
      <c r="Z53" s="724"/>
      <c r="AA53" s="724"/>
      <c r="AB53" s="724"/>
      <c r="AC53" s="719"/>
      <c r="AD53" s="708"/>
    </row>
    <row r="54" spans="1:30" ht="37.5" customHeight="1">
      <c r="A54" s="186"/>
      <c r="B54" s="421">
        <v>1</v>
      </c>
      <c r="C54" s="763">
        <v>1334567890</v>
      </c>
      <c r="D54" s="764"/>
      <c r="E54" s="764"/>
      <c r="F54" s="764"/>
      <c r="G54" s="764"/>
      <c r="H54" s="764"/>
      <c r="I54" s="764"/>
      <c r="J54" s="764"/>
      <c r="K54" s="764"/>
      <c r="L54" s="765"/>
      <c r="M54" s="757" t="s">
        <v>2416</v>
      </c>
      <c r="N54" s="758"/>
      <c r="O54" s="758"/>
      <c r="P54" s="758"/>
      <c r="Q54" s="759"/>
      <c r="R54" s="757" t="s">
        <v>2417</v>
      </c>
      <c r="S54" s="758"/>
      <c r="T54" s="758"/>
      <c r="U54" s="758"/>
      <c r="V54" s="759"/>
      <c r="W54" s="101" t="s">
        <v>264</v>
      </c>
      <c r="X54" s="17" t="s">
        <v>2418</v>
      </c>
      <c r="Y54" s="17" t="s">
        <v>145</v>
      </c>
      <c r="Z54" s="689">
        <v>225000</v>
      </c>
      <c r="AA54" s="690">
        <v>40000</v>
      </c>
      <c r="AB54" s="434">
        <f>IF(Z54-AA54=0,"",Z54-AA54)</f>
        <v>185000</v>
      </c>
      <c r="AC54" s="104">
        <f>IF(Y54="","",IFERROR(INDEX(【参考】数式用2!$G$3:$I$451,MATCH(W54,【参考】数式用2!$F$3:$F$451,0),MATCH(VLOOKUP(Y54,【参考】数式用2!$J$2:$K$26,2,FALSE),【参考】数式用2!$G$2:$I$2,0)),10))</f>
        <v>11.4</v>
      </c>
      <c r="AD54" s="435"/>
    </row>
    <row r="55" spans="1:30" ht="37.5" customHeight="1">
      <c r="A55" s="186"/>
      <c r="B55" s="421">
        <f>B54+1</f>
        <v>2</v>
      </c>
      <c r="C55" s="744">
        <v>1334567890</v>
      </c>
      <c r="D55" s="745"/>
      <c r="E55" s="745"/>
      <c r="F55" s="745"/>
      <c r="G55" s="745"/>
      <c r="H55" s="745"/>
      <c r="I55" s="745"/>
      <c r="J55" s="745"/>
      <c r="K55" s="745"/>
      <c r="L55" s="746"/>
      <c r="M55" s="760" t="s">
        <v>2430</v>
      </c>
      <c r="N55" s="761"/>
      <c r="O55" s="761"/>
      <c r="P55" s="761"/>
      <c r="Q55" s="762"/>
      <c r="R55" s="693" t="s">
        <v>2417</v>
      </c>
      <c r="S55" s="694"/>
      <c r="T55" s="694"/>
      <c r="U55" s="694"/>
      <c r="V55" s="695"/>
      <c r="W55" s="143" t="s">
        <v>264</v>
      </c>
      <c r="X55" s="18" t="s">
        <v>2418</v>
      </c>
      <c r="Y55" s="18" t="s">
        <v>163</v>
      </c>
      <c r="Z55" s="691">
        <v>95000</v>
      </c>
      <c r="AA55" s="692">
        <v>12000</v>
      </c>
      <c r="AB55" s="436">
        <f>IF(Z55-AA55=0,"",Z55-AA55)</f>
        <v>83000</v>
      </c>
      <c r="AC55" s="105">
        <f>IF(Y55="","",IFERROR(INDEX(【参考】数式用2!$G$3:$I$451,MATCH(W55,【参考】数式用2!$F$3:$F$451,0),MATCH(VLOOKUP(Y55,【参考】数式用2!$J$2:$K$26,2,FALSE),【参考】数式用2!$G$2:$I$2,0)),10))</f>
        <v>11.4</v>
      </c>
      <c r="AD55" s="435"/>
    </row>
    <row r="56" spans="1:30" ht="37.5" customHeight="1">
      <c r="A56" s="186"/>
      <c r="B56" s="421">
        <f t="shared" ref="B56:B92" si="0">B55+1</f>
        <v>3</v>
      </c>
      <c r="C56" s="744">
        <v>1334567891</v>
      </c>
      <c r="D56" s="745"/>
      <c r="E56" s="745"/>
      <c r="F56" s="745"/>
      <c r="G56" s="745"/>
      <c r="H56" s="745"/>
      <c r="I56" s="745"/>
      <c r="J56" s="745"/>
      <c r="K56" s="745"/>
      <c r="L56" s="746"/>
      <c r="M56" s="693" t="s">
        <v>2416</v>
      </c>
      <c r="N56" s="694"/>
      <c r="O56" s="694"/>
      <c r="P56" s="694"/>
      <c r="Q56" s="695"/>
      <c r="R56" s="693" t="s">
        <v>2417</v>
      </c>
      <c r="S56" s="694"/>
      <c r="T56" s="694"/>
      <c r="U56" s="694"/>
      <c r="V56" s="695"/>
      <c r="W56" s="143" t="s">
        <v>264</v>
      </c>
      <c r="X56" s="18" t="s">
        <v>2431</v>
      </c>
      <c r="Y56" s="18" t="s">
        <v>147</v>
      </c>
      <c r="Z56" s="19">
        <v>385000</v>
      </c>
      <c r="AA56" s="22">
        <v>80000</v>
      </c>
      <c r="AB56" s="436">
        <f t="shared" ref="AB56:AB119" si="1">IF(Z56-AA56=0,"",Z56-AA56)</f>
        <v>305000</v>
      </c>
      <c r="AC56" s="105">
        <f>IF(Y56="","",IFERROR(INDEX(【参考】数式用2!$G$3:$I$451,MATCH(W56,【参考】数式用2!$F$3:$F$451,0),MATCH(VLOOKUP(Y56,【参考】数式用2!$J$2:$K$26,2,FALSE),【参考】数式用2!$G$2:$I$2,0)),10))</f>
        <v>10.9</v>
      </c>
      <c r="AD56" s="435"/>
    </row>
    <row r="57" spans="1:30" ht="37.5" customHeight="1">
      <c r="A57" s="186"/>
      <c r="B57" s="421">
        <f t="shared" si="0"/>
        <v>4</v>
      </c>
      <c r="C57" s="744">
        <v>1334567892</v>
      </c>
      <c r="D57" s="745"/>
      <c r="E57" s="745"/>
      <c r="F57" s="745"/>
      <c r="G57" s="745"/>
      <c r="H57" s="745"/>
      <c r="I57" s="745"/>
      <c r="J57" s="745"/>
      <c r="K57" s="745"/>
      <c r="L57" s="746"/>
      <c r="M57" s="693" t="s">
        <v>2432</v>
      </c>
      <c r="N57" s="694"/>
      <c r="O57" s="694"/>
      <c r="P57" s="694"/>
      <c r="Q57" s="695"/>
      <c r="R57" s="693" t="s">
        <v>2417</v>
      </c>
      <c r="S57" s="694"/>
      <c r="T57" s="694"/>
      <c r="U57" s="694"/>
      <c r="V57" s="695"/>
      <c r="W57" s="143" t="s">
        <v>2433</v>
      </c>
      <c r="X57" s="18" t="s">
        <v>2434</v>
      </c>
      <c r="Y57" s="18" t="s">
        <v>151</v>
      </c>
      <c r="Z57" s="19">
        <v>425000</v>
      </c>
      <c r="AA57" s="22">
        <v>80000</v>
      </c>
      <c r="AB57" s="436">
        <f t="shared" si="1"/>
        <v>345000</v>
      </c>
      <c r="AC57" s="105">
        <f>IF(Y57="","",IFERROR(INDEX(【参考】数式用2!$G$3:$I$451,MATCH(W57,【参考】数式用2!$F$3:$F$451,0),MATCH(VLOOKUP(Y57,【参考】数式用2!$J$2:$K$26,2,FALSE),【参考】数式用2!$G$2:$I$2,0)),10))</f>
        <v>11.1</v>
      </c>
      <c r="AD57" s="435"/>
    </row>
    <row r="58" spans="1:30" ht="37.5" customHeight="1">
      <c r="A58" s="186"/>
      <c r="B58" s="421">
        <f t="shared" si="0"/>
        <v>5</v>
      </c>
      <c r="C58" s="744">
        <v>1334567893</v>
      </c>
      <c r="D58" s="745"/>
      <c r="E58" s="745"/>
      <c r="F58" s="745"/>
      <c r="G58" s="745"/>
      <c r="H58" s="745"/>
      <c r="I58" s="745"/>
      <c r="J58" s="745"/>
      <c r="K58" s="745"/>
      <c r="L58" s="746"/>
      <c r="M58" s="693" t="s">
        <v>2435</v>
      </c>
      <c r="N58" s="694"/>
      <c r="O58" s="694"/>
      <c r="P58" s="694"/>
      <c r="Q58" s="695"/>
      <c r="R58" s="693" t="s">
        <v>1394</v>
      </c>
      <c r="S58" s="694"/>
      <c r="T58" s="694"/>
      <c r="U58" s="694"/>
      <c r="V58" s="695"/>
      <c r="W58" s="143" t="s">
        <v>1447</v>
      </c>
      <c r="X58" s="18" t="s">
        <v>2436</v>
      </c>
      <c r="Y58" s="18" t="s">
        <v>158</v>
      </c>
      <c r="Z58" s="19">
        <v>2135000</v>
      </c>
      <c r="AA58" s="22">
        <v>200000</v>
      </c>
      <c r="AB58" s="436">
        <f t="shared" si="1"/>
        <v>1935000</v>
      </c>
      <c r="AC58" s="105">
        <f>IF(Y58="","",IFERROR(INDEX(【参考】数式用2!$G$3:$I$451,MATCH(W58,【参考】数式用2!$F$3:$F$451,0),MATCH(VLOOKUP(Y58,【参考】数式用2!$J$2:$K$26,2,FALSE),【参考】数式用2!$G$2:$I$2,0)),10))</f>
        <v>10.68</v>
      </c>
      <c r="AD58" s="435"/>
    </row>
    <row r="59" spans="1:30" ht="37.5" customHeight="1">
      <c r="A59" s="186"/>
      <c r="B59" s="421">
        <f t="shared" si="0"/>
        <v>6</v>
      </c>
      <c r="C59" s="744">
        <v>1334567893</v>
      </c>
      <c r="D59" s="745"/>
      <c r="E59" s="745"/>
      <c r="F59" s="745"/>
      <c r="G59" s="745"/>
      <c r="H59" s="745"/>
      <c r="I59" s="745"/>
      <c r="J59" s="745"/>
      <c r="K59" s="745"/>
      <c r="L59" s="746"/>
      <c r="M59" s="693" t="s">
        <v>2435</v>
      </c>
      <c r="N59" s="694"/>
      <c r="O59" s="694"/>
      <c r="P59" s="694"/>
      <c r="Q59" s="695"/>
      <c r="R59" s="693" t="s">
        <v>1394</v>
      </c>
      <c r="S59" s="694"/>
      <c r="T59" s="694"/>
      <c r="U59" s="694"/>
      <c r="V59" s="695"/>
      <c r="W59" s="143" t="s">
        <v>1447</v>
      </c>
      <c r="X59" s="18" t="s">
        <v>2436</v>
      </c>
      <c r="Y59" s="18" t="s">
        <v>158</v>
      </c>
      <c r="Z59" s="19">
        <v>2135000</v>
      </c>
      <c r="AA59" s="22">
        <v>200000</v>
      </c>
      <c r="AB59" s="436">
        <f t="shared" si="1"/>
        <v>1935000</v>
      </c>
      <c r="AC59" s="105">
        <f>IF(Y59="","",IFERROR(INDEX(【参考】数式用2!$G$3:$I$451,MATCH(W59,【参考】数式用2!$F$3:$F$451,0),MATCH(VLOOKUP(Y59,【参考】数式用2!$J$2:$K$26,2,FALSE),【参考】数式用2!$G$2:$I$2,0)),10))</f>
        <v>10.68</v>
      </c>
      <c r="AD59" s="435"/>
    </row>
    <row r="60" spans="1:30" ht="37.5" customHeight="1">
      <c r="A60" s="186"/>
      <c r="B60" s="421">
        <f t="shared" si="0"/>
        <v>7</v>
      </c>
      <c r="C60" s="744">
        <v>1334567894</v>
      </c>
      <c r="D60" s="745"/>
      <c r="E60" s="745"/>
      <c r="F60" s="745"/>
      <c r="G60" s="745"/>
      <c r="H60" s="745"/>
      <c r="I60" s="745"/>
      <c r="J60" s="745"/>
      <c r="K60" s="745"/>
      <c r="L60" s="746"/>
      <c r="M60" s="693" t="s">
        <v>2435</v>
      </c>
      <c r="N60" s="694"/>
      <c r="O60" s="694"/>
      <c r="P60" s="694"/>
      <c r="Q60" s="695"/>
      <c r="R60" s="693" t="s">
        <v>1394</v>
      </c>
      <c r="S60" s="694"/>
      <c r="T60" s="694"/>
      <c r="U60" s="694"/>
      <c r="V60" s="695"/>
      <c r="W60" s="143" t="s">
        <v>1447</v>
      </c>
      <c r="X60" s="18" t="s">
        <v>2436</v>
      </c>
      <c r="Y60" s="18" t="s">
        <v>153</v>
      </c>
      <c r="Z60" s="19">
        <v>255000</v>
      </c>
      <c r="AA60" s="22">
        <v>18000</v>
      </c>
      <c r="AB60" s="436">
        <f t="shared" si="1"/>
        <v>237000</v>
      </c>
      <c r="AC60" s="105">
        <f>IF(Y60="","",IFERROR(INDEX(【参考】数式用2!$G$3:$I$451,MATCH(W60,【参考】数式用2!$F$3:$F$451,0),MATCH(VLOOKUP(Y60,【参考】数式用2!$J$2:$K$26,2,FALSE),【参考】数式用2!$G$2:$I$2,0)),10))</f>
        <v>10.83</v>
      </c>
      <c r="AD60" s="435"/>
    </row>
    <row r="61" spans="1:30" ht="37.5" customHeight="1">
      <c r="A61" s="186"/>
      <c r="B61" s="421">
        <f t="shared" si="0"/>
        <v>8</v>
      </c>
      <c r="C61" s="744" t="s">
        <v>2441</v>
      </c>
      <c r="D61" s="745"/>
      <c r="E61" s="745"/>
      <c r="F61" s="745"/>
      <c r="G61" s="745"/>
      <c r="H61" s="745"/>
      <c r="I61" s="745"/>
      <c r="J61" s="745"/>
      <c r="K61" s="745"/>
      <c r="L61" s="746"/>
      <c r="M61" s="693" t="s">
        <v>2416</v>
      </c>
      <c r="N61" s="694"/>
      <c r="O61" s="694"/>
      <c r="P61" s="694"/>
      <c r="Q61" s="695"/>
      <c r="R61" s="693" t="s">
        <v>2416</v>
      </c>
      <c r="S61" s="694"/>
      <c r="T61" s="694"/>
      <c r="U61" s="694"/>
      <c r="V61" s="695"/>
      <c r="W61" s="143" t="s">
        <v>2438</v>
      </c>
      <c r="X61" s="18" t="s">
        <v>2434</v>
      </c>
      <c r="Y61" s="18" t="s">
        <v>158</v>
      </c>
      <c r="Z61" s="19">
        <v>2000000</v>
      </c>
      <c r="AA61" s="22">
        <v>200000</v>
      </c>
      <c r="AB61" s="436">
        <f t="shared" si="1"/>
        <v>1800000</v>
      </c>
      <c r="AC61" s="105">
        <f>IF(Y61="","",IFERROR(INDEX(【参考】数式用2!$G$3:$I$451,MATCH(W61,【参考】数式用2!$F$3:$F$451,0),MATCH(VLOOKUP(Y61,【参考】数式用2!$J$2:$K$26,2,FALSE),【参考】数式用2!$G$2:$I$2,0)),10))</f>
        <v>10.9</v>
      </c>
      <c r="AD61" s="437"/>
    </row>
    <row r="62" spans="1:30" ht="37.5" customHeight="1">
      <c r="A62" s="186"/>
      <c r="B62" s="421">
        <f t="shared" si="0"/>
        <v>9</v>
      </c>
      <c r="C62" s="744" t="s">
        <v>2444</v>
      </c>
      <c r="D62" s="745"/>
      <c r="E62" s="745"/>
      <c r="F62" s="745"/>
      <c r="G62" s="745"/>
      <c r="H62" s="745"/>
      <c r="I62" s="745"/>
      <c r="J62" s="745"/>
      <c r="K62" s="745"/>
      <c r="L62" s="746"/>
      <c r="M62" s="693" t="s">
        <v>2435</v>
      </c>
      <c r="N62" s="694"/>
      <c r="O62" s="694"/>
      <c r="P62" s="694"/>
      <c r="Q62" s="695"/>
      <c r="R62" s="693" t="s">
        <v>1394</v>
      </c>
      <c r="S62" s="694"/>
      <c r="T62" s="694"/>
      <c r="U62" s="694"/>
      <c r="V62" s="695"/>
      <c r="W62" s="143" t="s">
        <v>1447</v>
      </c>
      <c r="X62" s="18" t="s">
        <v>2445</v>
      </c>
      <c r="Y62" s="18" t="s">
        <v>15</v>
      </c>
      <c r="Z62" s="19">
        <v>2135000</v>
      </c>
      <c r="AA62" s="22">
        <v>200000</v>
      </c>
      <c r="AB62" s="436">
        <f t="shared" si="1"/>
        <v>1935000</v>
      </c>
      <c r="AC62" s="105">
        <f>IF(Y62="","",IFERROR(INDEX(【参考】数式用2!$G$3:$I$451,MATCH(W62,【参考】数式用2!$F$3:$F$451,0),MATCH(VLOOKUP(Y62,【参考】数式用2!$J$2:$K$26,2,FALSE),【参考】数式用2!$G$2:$I$2,0)),10))</f>
        <v>10.68</v>
      </c>
      <c r="AD62" s="437"/>
    </row>
    <row r="63" spans="1:30" ht="37.5" customHeight="1">
      <c r="A63" s="186"/>
      <c r="B63" s="421">
        <f t="shared" si="0"/>
        <v>10</v>
      </c>
      <c r="C63" s="744" t="s">
        <v>2446</v>
      </c>
      <c r="D63" s="745"/>
      <c r="E63" s="745"/>
      <c r="F63" s="745"/>
      <c r="G63" s="745"/>
      <c r="H63" s="745"/>
      <c r="I63" s="745"/>
      <c r="J63" s="745"/>
      <c r="K63" s="745"/>
      <c r="L63" s="746"/>
      <c r="M63" s="693" t="s">
        <v>2416</v>
      </c>
      <c r="N63" s="694"/>
      <c r="O63" s="694"/>
      <c r="P63" s="694"/>
      <c r="Q63" s="695"/>
      <c r="R63" s="693" t="s">
        <v>2416</v>
      </c>
      <c r="S63" s="694"/>
      <c r="T63" s="694"/>
      <c r="U63" s="694"/>
      <c r="V63" s="695"/>
      <c r="W63" s="143" t="s">
        <v>2438</v>
      </c>
      <c r="X63" s="18" t="s">
        <v>2447</v>
      </c>
      <c r="Y63" s="18" t="s">
        <v>147</v>
      </c>
      <c r="Z63" s="19">
        <v>2135000</v>
      </c>
      <c r="AA63" s="22">
        <v>200000</v>
      </c>
      <c r="AB63" s="436">
        <f t="shared" si="1"/>
        <v>1935000</v>
      </c>
      <c r="AC63" s="105">
        <f>IF(Y63="","",IFERROR(INDEX(【参考】数式用2!$G$3:$I$451,MATCH(W63,【参考】数式用2!$F$3:$F$451,0),MATCH(VLOOKUP(Y63,【参考】数式用2!$J$2:$K$26,2,FALSE),【参考】数式用2!$G$2:$I$2,0)),10))</f>
        <v>10.9</v>
      </c>
      <c r="AD63" s="437"/>
    </row>
    <row r="64" spans="1:30" ht="37.5" customHeight="1">
      <c r="A64" s="186"/>
      <c r="B64" s="421">
        <f t="shared" si="0"/>
        <v>11</v>
      </c>
      <c r="C64" s="744" t="s">
        <v>2448</v>
      </c>
      <c r="D64" s="745"/>
      <c r="E64" s="745"/>
      <c r="F64" s="745"/>
      <c r="G64" s="745"/>
      <c r="H64" s="745"/>
      <c r="I64" s="745"/>
      <c r="J64" s="745"/>
      <c r="K64" s="745"/>
      <c r="L64" s="746"/>
      <c r="M64" s="693" t="s">
        <v>2435</v>
      </c>
      <c r="N64" s="694"/>
      <c r="O64" s="694"/>
      <c r="P64" s="694"/>
      <c r="Q64" s="695"/>
      <c r="R64" s="693" t="s">
        <v>1394</v>
      </c>
      <c r="S64" s="694"/>
      <c r="T64" s="694"/>
      <c r="U64" s="694"/>
      <c r="V64" s="695"/>
      <c r="W64" s="143" t="s">
        <v>1447</v>
      </c>
      <c r="X64" s="18" t="s">
        <v>2445</v>
      </c>
      <c r="Y64" s="18" t="s">
        <v>157</v>
      </c>
      <c r="Z64" s="19">
        <v>2120000</v>
      </c>
      <c r="AA64" s="22">
        <v>200000</v>
      </c>
      <c r="AB64" s="436">
        <f t="shared" si="1"/>
        <v>1920000</v>
      </c>
      <c r="AC64" s="105">
        <f>IF(Y64="","",IFERROR(INDEX(【参考】数式用2!$G$3:$I$451,MATCH(W64,【参考】数式用2!$F$3:$F$451,0),MATCH(VLOOKUP(Y64,【参考】数式用2!$J$2:$K$26,2,FALSE),【参考】数式用2!$G$2:$I$2,0)),10))</f>
        <v>10.83</v>
      </c>
      <c r="AD64" s="437"/>
    </row>
    <row r="65" spans="1:30" ht="37.5" customHeight="1">
      <c r="A65" s="186"/>
      <c r="B65" s="421">
        <f t="shared" si="0"/>
        <v>12</v>
      </c>
      <c r="C65" s="744" t="s">
        <v>2449</v>
      </c>
      <c r="D65" s="745"/>
      <c r="E65" s="745"/>
      <c r="F65" s="745"/>
      <c r="G65" s="745"/>
      <c r="H65" s="745"/>
      <c r="I65" s="745"/>
      <c r="J65" s="745"/>
      <c r="K65" s="745"/>
      <c r="L65" s="746"/>
      <c r="M65" s="693" t="s">
        <v>2416</v>
      </c>
      <c r="N65" s="694"/>
      <c r="O65" s="694"/>
      <c r="P65" s="694"/>
      <c r="Q65" s="695"/>
      <c r="R65" s="693" t="s">
        <v>2416</v>
      </c>
      <c r="S65" s="694"/>
      <c r="T65" s="694"/>
      <c r="U65" s="694"/>
      <c r="V65" s="695"/>
      <c r="W65" s="143" t="s">
        <v>2438</v>
      </c>
      <c r="X65" s="18" t="s">
        <v>2447</v>
      </c>
      <c r="Y65" s="18" t="s">
        <v>161</v>
      </c>
      <c r="Z65" s="19">
        <v>2000000</v>
      </c>
      <c r="AA65" s="22">
        <v>200000</v>
      </c>
      <c r="AB65" s="436">
        <f t="shared" si="1"/>
        <v>1800000</v>
      </c>
      <c r="AC65" s="105">
        <f>IF(Y65="","",IFERROR(INDEX(【参考】数式用2!$G$3:$I$451,MATCH(W65,【参考】数式用2!$F$3:$F$451,0),MATCH(VLOOKUP(Y65,【参考】数式用2!$J$2:$K$26,2,FALSE),【参考】数式用2!$G$2:$I$2,0)),10))</f>
        <v>10.9</v>
      </c>
      <c r="AD65" s="437"/>
    </row>
    <row r="66" spans="1:30" ht="37.5" customHeight="1">
      <c r="A66" s="186"/>
      <c r="B66" s="421">
        <f t="shared" si="0"/>
        <v>13</v>
      </c>
      <c r="C66" s="747"/>
      <c r="D66" s="748"/>
      <c r="E66" s="748"/>
      <c r="F66" s="748"/>
      <c r="G66" s="748"/>
      <c r="H66" s="748"/>
      <c r="I66" s="748"/>
      <c r="J66" s="748"/>
      <c r="K66" s="748"/>
      <c r="L66" s="749"/>
      <c r="M66" s="750"/>
      <c r="N66" s="750"/>
      <c r="O66" s="750"/>
      <c r="P66" s="750"/>
      <c r="Q66" s="750"/>
      <c r="R66" s="693"/>
      <c r="S66" s="694"/>
      <c r="T66" s="694"/>
      <c r="U66" s="694"/>
      <c r="V66" s="695"/>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7"/>
      <c r="D67" s="748"/>
      <c r="E67" s="748"/>
      <c r="F67" s="748"/>
      <c r="G67" s="748"/>
      <c r="H67" s="748"/>
      <c r="I67" s="748"/>
      <c r="J67" s="748"/>
      <c r="K67" s="748"/>
      <c r="L67" s="749"/>
      <c r="M67" s="750"/>
      <c r="N67" s="750"/>
      <c r="O67" s="750"/>
      <c r="P67" s="750"/>
      <c r="Q67" s="750"/>
      <c r="R67" s="693"/>
      <c r="S67" s="694"/>
      <c r="T67" s="694"/>
      <c r="U67" s="694"/>
      <c r="V67" s="695"/>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7"/>
      <c r="D68" s="748"/>
      <c r="E68" s="748"/>
      <c r="F68" s="748"/>
      <c r="G68" s="748"/>
      <c r="H68" s="748"/>
      <c r="I68" s="748"/>
      <c r="J68" s="748"/>
      <c r="K68" s="748"/>
      <c r="L68" s="749"/>
      <c r="M68" s="750"/>
      <c r="N68" s="750"/>
      <c r="O68" s="750"/>
      <c r="P68" s="750"/>
      <c r="Q68" s="750"/>
      <c r="R68" s="693"/>
      <c r="S68" s="694"/>
      <c r="T68" s="694"/>
      <c r="U68" s="694"/>
      <c r="V68" s="695"/>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4"/>
      <c r="D69" s="745"/>
      <c r="E69" s="745"/>
      <c r="F69" s="745"/>
      <c r="G69" s="745"/>
      <c r="H69" s="745"/>
      <c r="I69" s="745"/>
      <c r="J69" s="745"/>
      <c r="K69" s="745"/>
      <c r="L69" s="746"/>
      <c r="M69" s="750"/>
      <c r="N69" s="750"/>
      <c r="O69" s="750"/>
      <c r="P69" s="750"/>
      <c r="Q69" s="750"/>
      <c r="R69" s="693"/>
      <c r="S69" s="694"/>
      <c r="T69" s="694"/>
      <c r="U69" s="694"/>
      <c r="V69" s="695"/>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4"/>
      <c r="D70" s="745"/>
      <c r="E70" s="745"/>
      <c r="F70" s="745"/>
      <c r="G70" s="745"/>
      <c r="H70" s="745"/>
      <c r="I70" s="745"/>
      <c r="J70" s="745"/>
      <c r="K70" s="745"/>
      <c r="L70" s="746"/>
      <c r="M70" s="750"/>
      <c r="N70" s="750"/>
      <c r="O70" s="750"/>
      <c r="P70" s="750"/>
      <c r="Q70" s="750"/>
      <c r="R70" s="693"/>
      <c r="S70" s="694"/>
      <c r="T70" s="694"/>
      <c r="U70" s="694"/>
      <c r="V70" s="695"/>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7"/>
      <c r="D71" s="748"/>
      <c r="E71" s="748"/>
      <c r="F71" s="748"/>
      <c r="G71" s="748"/>
      <c r="H71" s="748"/>
      <c r="I71" s="748"/>
      <c r="J71" s="748"/>
      <c r="K71" s="748"/>
      <c r="L71" s="749"/>
      <c r="M71" s="750"/>
      <c r="N71" s="750"/>
      <c r="O71" s="750"/>
      <c r="P71" s="750"/>
      <c r="Q71" s="750"/>
      <c r="R71" s="693"/>
      <c r="S71" s="694"/>
      <c r="T71" s="694"/>
      <c r="U71" s="694"/>
      <c r="V71" s="695"/>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7"/>
      <c r="D72" s="748"/>
      <c r="E72" s="748"/>
      <c r="F72" s="748"/>
      <c r="G72" s="748"/>
      <c r="H72" s="748"/>
      <c r="I72" s="748"/>
      <c r="J72" s="748"/>
      <c r="K72" s="748"/>
      <c r="L72" s="749"/>
      <c r="M72" s="750"/>
      <c r="N72" s="750"/>
      <c r="O72" s="750"/>
      <c r="P72" s="750"/>
      <c r="Q72" s="750"/>
      <c r="R72" s="693"/>
      <c r="S72" s="694"/>
      <c r="T72" s="694"/>
      <c r="U72" s="694"/>
      <c r="V72" s="695"/>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7"/>
      <c r="D73" s="748"/>
      <c r="E73" s="748"/>
      <c r="F73" s="748"/>
      <c r="G73" s="748"/>
      <c r="H73" s="748"/>
      <c r="I73" s="748"/>
      <c r="J73" s="748"/>
      <c r="K73" s="748"/>
      <c r="L73" s="749"/>
      <c r="M73" s="750"/>
      <c r="N73" s="750"/>
      <c r="O73" s="750"/>
      <c r="P73" s="750"/>
      <c r="Q73" s="750"/>
      <c r="R73" s="693"/>
      <c r="S73" s="694"/>
      <c r="T73" s="694"/>
      <c r="U73" s="694"/>
      <c r="V73" s="695"/>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7"/>
      <c r="D74" s="748"/>
      <c r="E74" s="748"/>
      <c r="F74" s="748"/>
      <c r="G74" s="748"/>
      <c r="H74" s="748"/>
      <c r="I74" s="748"/>
      <c r="J74" s="748"/>
      <c r="K74" s="748"/>
      <c r="L74" s="749"/>
      <c r="M74" s="750"/>
      <c r="N74" s="750"/>
      <c r="O74" s="750"/>
      <c r="P74" s="750"/>
      <c r="Q74" s="750"/>
      <c r="R74" s="693"/>
      <c r="S74" s="694"/>
      <c r="T74" s="694"/>
      <c r="U74" s="694"/>
      <c r="V74" s="695"/>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7"/>
      <c r="D75" s="748"/>
      <c r="E75" s="748"/>
      <c r="F75" s="748"/>
      <c r="G75" s="748"/>
      <c r="H75" s="748"/>
      <c r="I75" s="748"/>
      <c r="J75" s="748"/>
      <c r="K75" s="748"/>
      <c r="L75" s="749"/>
      <c r="M75" s="750"/>
      <c r="N75" s="750"/>
      <c r="O75" s="750"/>
      <c r="P75" s="750"/>
      <c r="Q75" s="750"/>
      <c r="R75" s="693"/>
      <c r="S75" s="694"/>
      <c r="T75" s="694"/>
      <c r="U75" s="694"/>
      <c r="V75" s="695"/>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7"/>
      <c r="D76" s="748"/>
      <c r="E76" s="748"/>
      <c r="F76" s="748"/>
      <c r="G76" s="748"/>
      <c r="H76" s="748"/>
      <c r="I76" s="748"/>
      <c r="J76" s="748"/>
      <c r="K76" s="748"/>
      <c r="L76" s="749"/>
      <c r="M76" s="750"/>
      <c r="N76" s="750"/>
      <c r="O76" s="750"/>
      <c r="P76" s="750"/>
      <c r="Q76" s="750"/>
      <c r="R76" s="693"/>
      <c r="S76" s="694"/>
      <c r="T76" s="694"/>
      <c r="U76" s="694"/>
      <c r="V76" s="695"/>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7"/>
      <c r="D77" s="748"/>
      <c r="E77" s="748"/>
      <c r="F77" s="748"/>
      <c r="G77" s="748"/>
      <c r="H77" s="748"/>
      <c r="I77" s="748"/>
      <c r="J77" s="748"/>
      <c r="K77" s="748"/>
      <c r="L77" s="749"/>
      <c r="M77" s="750"/>
      <c r="N77" s="750"/>
      <c r="O77" s="750"/>
      <c r="P77" s="750"/>
      <c r="Q77" s="750"/>
      <c r="R77" s="693"/>
      <c r="S77" s="694"/>
      <c r="T77" s="694"/>
      <c r="U77" s="694"/>
      <c r="V77" s="695"/>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7"/>
      <c r="D78" s="748"/>
      <c r="E78" s="748"/>
      <c r="F78" s="748"/>
      <c r="G78" s="748"/>
      <c r="H78" s="748"/>
      <c r="I78" s="748"/>
      <c r="J78" s="748"/>
      <c r="K78" s="748"/>
      <c r="L78" s="749"/>
      <c r="M78" s="750"/>
      <c r="N78" s="750"/>
      <c r="O78" s="750"/>
      <c r="P78" s="750"/>
      <c r="Q78" s="750"/>
      <c r="R78" s="693"/>
      <c r="S78" s="694"/>
      <c r="T78" s="694"/>
      <c r="U78" s="694"/>
      <c r="V78" s="695"/>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7"/>
      <c r="D79" s="748"/>
      <c r="E79" s="748"/>
      <c r="F79" s="748"/>
      <c r="G79" s="748"/>
      <c r="H79" s="748"/>
      <c r="I79" s="748"/>
      <c r="J79" s="748"/>
      <c r="K79" s="748"/>
      <c r="L79" s="749"/>
      <c r="M79" s="750"/>
      <c r="N79" s="750"/>
      <c r="O79" s="750"/>
      <c r="P79" s="750"/>
      <c r="Q79" s="750"/>
      <c r="R79" s="693"/>
      <c r="S79" s="694"/>
      <c r="T79" s="694"/>
      <c r="U79" s="694"/>
      <c r="V79" s="695"/>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7"/>
      <c r="D80" s="748"/>
      <c r="E80" s="748"/>
      <c r="F80" s="748"/>
      <c r="G80" s="748"/>
      <c r="H80" s="748"/>
      <c r="I80" s="748"/>
      <c r="J80" s="748"/>
      <c r="K80" s="748"/>
      <c r="L80" s="749"/>
      <c r="M80" s="750"/>
      <c r="N80" s="750"/>
      <c r="O80" s="750"/>
      <c r="P80" s="750"/>
      <c r="Q80" s="750"/>
      <c r="R80" s="693"/>
      <c r="S80" s="694"/>
      <c r="T80" s="694"/>
      <c r="U80" s="694"/>
      <c r="V80" s="695"/>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7"/>
      <c r="D81" s="748"/>
      <c r="E81" s="748"/>
      <c r="F81" s="748"/>
      <c r="G81" s="748"/>
      <c r="H81" s="748"/>
      <c r="I81" s="748"/>
      <c r="J81" s="748"/>
      <c r="K81" s="748"/>
      <c r="L81" s="749"/>
      <c r="M81" s="750"/>
      <c r="N81" s="750"/>
      <c r="O81" s="750"/>
      <c r="P81" s="750"/>
      <c r="Q81" s="750"/>
      <c r="R81" s="693"/>
      <c r="S81" s="694"/>
      <c r="T81" s="694"/>
      <c r="U81" s="694"/>
      <c r="V81" s="695"/>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7"/>
      <c r="D82" s="748"/>
      <c r="E82" s="748"/>
      <c r="F82" s="748"/>
      <c r="G82" s="748"/>
      <c r="H82" s="748"/>
      <c r="I82" s="748"/>
      <c r="J82" s="748"/>
      <c r="K82" s="748"/>
      <c r="L82" s="749"/>
      <c r="M82" s="750"/>
      <c r="N82" s="750"/>
      <c r="O82" s="750"/>
      <c r="P82" s="750"/>
      <c r="Q82" s="750"/>
      <c r="R82" s="693"/>
      <c r="S82" s="694"/>
      <c r="T82" s="694"/>
      <c r="U82" s="694"/>
      <c r="V82" s="695"/>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7"/>
      <c r="D83" s="748"/>
      <c r="E83" s="748"/>
      <c r="F83" s="748"/>
      <c r="G83" s="748"/>
      <c r="H83" s="748"/>
      <c r="I83" s="748"/>
      <c r="J83" s="748"/>
      <c r="K83" s="748"/>
      <c r="L83" s="749"/>
      <c r="M83" s="750"/>
      <c r="N83" s="750"/>
      <c r="O83" s="750"/>
      <c r="P83" s="750"/>
      <c r="Q83" s="750"/>
      <c r="R83" s="693"/>
      <c r="S83" s="694"/>
      <c r="T83" s="694"/>
      <c r="U83" s="694"/>
      <c r="V83" s="695"/>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7"/>
      <c r="D84" s="748"/>
      <c r="E84" s="748"/>
      <c r="F84" s="748"/>
      <c r="G84" s="748"/>
      <c r="H84" s="748"/>
      <c r="I84" s="748"/>
      <c r="J84" s="748"/>
      <c r="K84" s="748"/>
      <c r="L84" s="749"/>
      <c r="M84" s="750"/>
      <c r="N84" s="750"/>
      <c r="O84" s="750"/>
      <c r="P84" s="750"/>
      <c r="Q84" s="750"/>
      <c r="R84" s="693"/>
      <c r="S84" s="694"/>
      <c r="T84" s="694"/>
      <c r="U84" s="694"/>
      <c r="V84" s="695"/>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7"/>
      <c r="D85" s="748"/>
      <c r="E85" s="748"/>
      <c r="F85" s="748"/>
      <c r="G85" s="748"/>
      <c r="H85" s="748"/>
      <c r="I85" s="748"/>
      <c r="J85" s="748"/>
      <c r="K85" s="748"/>
      <c r="L85" s="749"/>
      <c r="M85" s="750"/>
      <c r="N85" s="750"/>
      <c r="O85" s="750"/>
      <c r="P85" s="750"/>
      <c r="Q85" s="750"/>
      <c r="R85" s="693"/>
      <c r="S85" s="694"/>
      <c r="T85" s="694"/>
      <c r="U85" s="694"/>
      <c r="V85" s="695"/>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7"/>
      <c r="D86" s="748"/>
      <c r="E86" s="748"/>
      <c r="F86" s="748"/>
      <c r="G86" s="748"/>
      <c r="H86" s="748"/>
      <c r="I86" s="748"/>
      <c r="J86" s="748"/>
      <c r="K86" s="748"/>
      <c r="L86" s="749"/>
      <c r="M86" s="750"/>
      <c r="N86" s="750"/>
      <c r="O86" s="750"/>
      <c r="P86" s="750"/>
      <c r="Q86" s="750"/>
      <c r="R86" s="693"/>
      <c r="S86" s="694"/>
      <c r="T86" s="694"/>
      <c r="U86" s="694"/>
      <c r="V86" s="695"/>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7"/>
      <c r="D87" s="748"/>
      <c r="E87" s="748"/>
      <c r="F87" s="748"/>
      <c r="G87" s="748"/>
      <c r="H87" s="748"/>
      <c r="I87" s="748"/>
      <c r="J87" s="748"/>
      <c r="K87" s="748"/>
      <c r="L87" s="749"/>
      <c r="M87" s="750"/>
      <c r="N87" s="750"/>
      <c r="O87" s="750"/>
      <c r="P87" s="750"/>
      <c r="Q87" s="750"/>
      <c r="R87" s="693"/>
      <c r="S87" s="694"/>
      <c r="T87" s="694"/>
      <c r="U87" s="694"/>
      <c r="V87" s="695"/>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7"/>
      <c r="D88" s="748"/>
      <c r="E88" s="748"/>
      <c r="F88" s="748"/>
      <c r="G88" s="748"/>
      <c r="H88" s="748"/>
      <c r="I88" s="748"/>
      <c r="J88" s="748"/>
      <c r="K88" s="748"/>
      <c r="L88" s="749"/>
      <c r="M88" s="750"/>
      <c r="N88" s="750"/>
      <c r="O88" s="750"/>
      <c r="P88" s="750"/>
      <c r="Q88" s="750"/>
      <c r="R88" s="693"/>
      <c r="S88" s="694"/>
      <c r="T88" s="694"/>
      <c r="U88" s="694"/>
      <c r="V88" s="695"/>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7"/>
      <c r="D89" s="748"/>
      <c r="E89" s="748"/>
      <c r="F89" s="748"/>
      <c r="G89" s="748"/>
      <c r="H89" s="748"/>
      <c r="I89" s="748"/>
      <c r="J89" s="748"/>
      <c r="K89" s="748"/>
      <c r="L89" s="749"/>
      <c r="M89" s="750"/>
      <c r="N89" s="750"/>
      <c r="O89" s="750"/>
      <c r="P89" s="750"/>
      <c r="Q89" s="750"/>
      <c r="R89" s="693"/>
      <c r="S89" s="694"/>
      <c r="T89" s="694"/>
      <c r="U89" s="694"/>
      <c r="V89" s="695"/>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7"/>
      <c r="D90" s="748"/>
      <c r="E90" s="748"/>
      <c r="F90" s="748"/>
      <c r="G90" s="748"/>
      <c r="H90" s="748"/>
      <c r="I90" s="748"/>
      <c r="J90" s="748"/>
      <c r="K90" s="748"/>
      <c r="L90" s="749"/>
      <c r="M90" s="750"/>
      <c r="N90" s="750"/>
      <c r="O90" s="750"/>
      <c r="P90" s="750"/>
      <c r="Q90" s="750"/>
      <c r="R90" s="693"/>
      <c r="S90" s="694"/>
      <c r="T90" s="694"/>
      <c r="U90" s="694"/>
      <c r="V90" s="695"/>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7"/>
      <c r="D91" s="748"/>
      <c r="E91" s="748"/>
      <c r="F91" s="748"/>
      <c r="G91" s="748"/>
      <c r="H91" s="748"/>
      <c r="I91" s="748"/>
      <c r="J91" s="748"/>
      <c r="K91" s="748"/>
      <c r="L91" s="749"/>
      <c r="M91" s="750"/>
      <c r="N91" s="750"/>
      <c r="O91" s="750"/>
      <c r="P91" s="750"/>
      <c r="Q91" s="750"/>
      <c r="R91" s="693"/>
      <c r="S91" s="694"/>
      <c r="T91" s="694"/>
      <c r="U91" s="694"/>
      <c r="V91" s="695"/>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7"/>
      <c r="D92" s="748"/>
      <c r="E92" s="748"/>
      <c r="F92" s="748"/>
      <c r="G92" s="748"/>
      <c r="H92" s="748"/>
      <c r="I92" s="748"/>
      <c r="J92" s="748"/>
      <c r="K92" s="748"/>
      <c r="L92" s="749"/>
      <c r="M92" s="750"/>
      <c r="N92" s="750"/>
      <c r="O92" s="750"/>
      <c r="P92" s="750"/>
      <c r="Q92" s="750"/>
      <c r="R92" s="693"/>
      <c r="S92" s="694"/>
      <c r="T92" s="694"/>
      <c r="U92" s="694"/>
      <c r="V92" s="695"/>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7"/>
      <c r="D94" s="748"/>
      <c r="E94" s="748"/>
      <c r="F94" s="748"/>
      <c r="G94" s="748"/>
      <c r="H94" s="748"/>
      <c r="I94" s="748"/>
      <c r="J94" s="748"/>
      <c r="K94" s="748"/>
      <c r="L94" s="749"/>
      <c r="M94" s="750"/>
      <c r="N94" s="750"/>
      <c r="O94" s="750"/>
      <c r="P94" s="750"/>
      <c r="Q94" s="750"/>
      <c r="R94" s="693"/>
      <c r="S94" s="694"/>
      <c r="T94" s="694"/>
      <c r="U94" s="694"/>
      <c r="V94" s="695"/>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7"/>
      <c r="D95" s="748"/>
      <c r="E95" s="748"/>
      <c r="F95" s="748"/>
      <c r="G95" s="748"/>
      <c r="H95" s="748"/>
      <c r="I95" s="748"/>
      <c r="J95" s="748"/>
      <c r="K95" s="748"/>
      <c r="L95" s="749"/>
      <c r="M95" s="750"/>
      <c r="N95" s="750"/>
      <c r="O95" s="750"/>
      <c r="P95" s="750"/>
      <c r="Q95" s="750"/>
      <c r="R95" s="693"/>
      <c r="S95" s="694"/>
      <c r="T95" s="694"/>
      <c r="U95" s="694"/>
      <c r="V95" s="695"/>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7"/>
      <c r="D96" s="748"/>
      <c r="E96" s="748"/>
      <c r="F96" s="748"/>
      <c r="G96" s="748"/>
      <c r="H96" s="748"/>
      <c r="I96" s="748"/>
      <c r="J96" s="748"/>
      <c r="K96" s="748"/>
      <c r="L96" s="749"/>
      <c r="M96" s="750"/>
      <c r="N96" s="750"/>
      <c r="O96" s="750"/>
      <c r="P96" s="750"/>
      <c r="Q96" s="750"/>
      <c r="R96" s="693"/>
      <c r="S96" s="694"/>
      <c r="T96" s="694"/>
      <c r="U96" s="694"/>
      <c r="V96" s="695"/>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7"/>
      <c r="D97" s="748"/>
      <c r="E97" s="748"/>
      <c r="F97" s="748"/>
      <c r="G97" s="748"/>
      <c r="H97" s="748"/>
      <c r="I97" s="748"/>
      <c r="J97" s="748"/>
      <c r="K97" s="748"/>
      <c r="L97" s="749"/>
      <c r="M97" s="750"/>
      <c r="N97" s="750"/>
      <c r="O97" s="750"/>
      <c r="P97" s="750"/>
      <c r="Q97" s="750"/>
      <c r="R97" s="693"/>
      <c r="S97" s="694"/>
      <c r="T97" s="694"/>
      <c r="U97" s="694"/>
      <c r="V97" s="695"/>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7"/>
      <c r="D98" s="748"/>
      <c r="E98" s="748"/>
      <c r="F98" s="748"/>
      <c r="G98" s="748"/>
      <c r="H98" s="748"/>
      <c r="I98" s="748"/>
      <c r="J98" s="748"/>
      <c r="K98" s="748"/>
      <c r="L98" s="749"/>
      <c r="M98" s="750"/>
      <c r="N98" s="750"/>
      <c r="O98" s="750"/>
      <c r="P98" s="750"/>
      <c r="Q98" s="750"/>
      <c r="R98" s="693"/>
      <c r="S98" s="694"/>
      <c r="T98" s="694"/>
      <c r="U98" s="694"/>
      <c r="V98" s="695"/>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7"/>
      <c r="D99" s="748"/>
      <c r="E99" s="748"/>
      <c r="F99" s="748"/>
      <c r="G99" s="748"/>
      <c r="H99" s="748"/>
      <c r="I99" s="748"/>
      <c r="J99" s="748"/>
      <c r="K99" s="748"/>
      <c r="L99" s="749"/>
      <c r="M99" s="750"/>
      <c r="N99" s="750"/>
      <c r="O99" s="750"/>
      <c r="P99" s="750"/>
      <c r="Q99" s="750"/>
      <c r="R99" s="693"/>
      <c r="S99" s="694"/>
      <c r="T99" s="694"/>
      <c r="U99" s="694"/>
      <c r="V99" s="695"/>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
  <cols>
    <col min="1" max="1" width="2.08984375" customWidth="1"/>
    <col min="2" max="2" width="3.08984375" customWidth="1"/>
    <col min="3" max="7" width="2.6328125" customWidth="1"/>
    <col min="8" max="36" width="2.453125" customWidth="1"/>
    <col min="37" max="37" width="2.90625" customWidth="1"/>
    <col min="38" max="38" width="2.453125" customWidth="1"/>
    <col min="39" max="39" width="6.90625" customWidth="1"/>
    <col min="40" max="43" width="5.36328125" customWidth="1"/>
    <col min="44" max="44" width="7.36328125" customWidth="1"/>
    <col min="45" max="48" width="5.36328125" customWidth="1"/>
    <col min="49" max="51" width="5.453125" customWidth="1"/>
    <col min="52" max="52" width="5.90625" customWidth="1"/>
    <col min="53" max="53" width="6" customWidth="1"/>
    <col min="54" max="54" width="5.6328125" customWidth="1"/>
    <col min="55" max="63" width="4.0898437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2" t="s">
        <v>54</v>
      </c>
      <c r="AA1" s="1102"/>
      <c r="AB1" s="1102"/>
      <c r="AC1" s="1102"/>
      <c r="AD1" s="1102" t="str">
        <f>IF(基本情報入力シート!C33="","",基本情報入力シート!C33)</f>
        <v>○○市</v>
      </c>
      <c r="AE1" s="1102"/>
      <c r="AF1" s="1102"/>
      <c r="AG1" s="1102"/>
      <c r="AH1" s="1102"/>
      <c r="AI1" s="1102"/>
      <c r="AJ1" s="1102"/>
      <c r="AK1" s="1102"/>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2"/>
    </row>
    <row r="7" spans="1:39" s="163" customFormat="1" ht="25.5" customHeight="1">
      <c r="A7" s="162"/>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2"/>
    </row>
    <row r="8" spans="1:39" s="163" customFormat="1" ht="12.75" customHeight="1">
      <c r="A8" s="162"/>
      <c r="B8" s="1078" t="s">
        <v>75</v>
      </c>
      <c r="C8" s="1079"/>
      <c r="D8" s="1079"/>
      <c r="E8" s="1079"/>
      <c r="F8" s="1079"/>
      <c r="G8" s="1080"/>
      <c r="H8" s="164" t="s">
        <v>6</v>
      </c>
      <c r="I8" s="1119" t="str">
        <f>IF(基本情報入力シート!AE33="－","",基本情報入力シート!AE33)</f>
        <v>100－1234</v>
      </c>
      <c r="J8" s="1119"/>
      <c r="K8" s="1119"/>
      <c r="L8" s="1119"/>
      <c r="M8" s="1119"/>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81"/>
      <c r="C9" s="1082"/>
      <c r="D9" s="1082"/>
      <c r="E9" s="1082"/>
      <c r="F9" s="1082"/>
      <c r="G9" s="1083"/>
      <c r="H9" s="1072" t="str">
        <f>IF(基本情報入力シート!M40="","",基本情報入力シート!M40)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2"/>
    </row>
    <row r="10" spans="1:39" s="163" customFormat="1" ht="16.5" customHeight="1">
      <c r="A10" s="162"/>
      <c r="B10" s="1081"/>
      <c r="C10" s="1082"/>
      <c r="D10" s="1082"/>
      <c r="E10" s="1082"/>
      <c r="F10" s="1082"/>
      <c r="G10" s="1083"/>
      <c r="H10" s="1075" t="str">
        <f>IF(基本情報入力シート!M41="","",基本情報入力シート!M41)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2"/>
    </row>
    <row r="11" spans="1:39" s="163" customFormat="1" ht="13.5" customHeight="1">
      <c r="A11" s="162"/>
      <c r="B11" s="1084" t="s">
        <v>72</v>
      </c>
      <c r="C11" s="1085"/>
      <c r="D11" s="1085"/>
      <c r="E11" s="1085"/>
      <c r="F11" s="1085"/>
      <c r="G11" s="1086"/>
      <c r="H11" s="1109" t="str">
        <f>IF(基本情報入力シート!M44="","",基本情報入力シート!M44)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2"/>
    </row>
    <row r="12" spans="1:39" s="163" customFormat="1" ht="22.5" customHeight="1">
      <c r="A12" s="162"/>
      <c r="B12" s="1081" t="s">
        <v>70</v>
      </c>
      <c r="C12" s="1082"/>
      <c r="D12" s="1082"/>
      <c r="E12" s="1082"/>
      <c r="F12" s="1082"/>
      <c r="G12" s="1083"/>
      <c r="H12" s="1076" t="str">
        <f>IF(基本情報入力シート!M45="","",基本情報入力シート!M45)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2"/>
    </row>
    <row r="13" spans="1:39" s="163" customFormat="1" ht="18.75" customHeight="1">
      <c r="A13" s="162"/>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5"/>
      <c r="Y17" s="155"/>
      <c r="Z17" s="155"/>
      <c r="AA17" s="155"/>
      <c r="AB17" s="155"/>
      <c r="AC17" s="155"/>
      <c r="AD17" s="155"/>
      <c r="AE17" s="155"/>
      <c r="AF17" s="155"/>
      <c r="AG17" s="155"/>
      <c r="AH17" s="155"/>
      <c r="AI17" s="155"/>
      <c r="AJ17" s="155"/>
      <c r="AK17" s="155"/>
      <c r="AL17" s="153"/>
    </row>
    <row r="18" spans="1:51" ht="26.25" customHeight="1">
      <c r="A18" s="153"/>
      <c r="B18" s="172"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135353363</v>
      </c>
      <c r="R18" s="991"/>
      <c r="S18" s="991"/>
      <c r="T18" s="991"/>
      <c r="U18" s="991"/>
      <c r="V18" s="992"/>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108937207</v>
      </c>
      <c r="R19" s="991"/>
      <c r="S19" s="991"/>
      <c r="T19" s="991"/>
      <c r="U19" s="991"/>
      <c r="V19" s="992"/>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5" t="s">
        <v>2213</v>
      </c>
      <c r="F20" s="785"/>
      <c r="G20" s="785"/>
      <c r="H20" s="785"/>
      <c r="I20" s="785"/>
      <c r="J20" s="785"/>
      <c r="K20" s="785"/>
      <c r="L20" s="785"/>
      <c r="M20" s="785"/>
      <c r="N20" s="785"/>
      <c r="O20" s="785"/>
      <c r="P20" s="989"/>
      <c r="Q20" s="999">
        <v>1000000</v>
      </c>
      <c r="R20" s="1000"/>
      <c r="S20" s="1000"/>
      <c r="T20" s="1000"/>
      <c r="U20" s="1000"/>
      <c r="V20" s="1001"/>
      <c r="W20" s="179" t="s">
        <v>1</v>
      </c>
      <c r="X20" s="155" t="s">
        <v>166</v>
      </c>
      <c r="Y20" s="180" t="str">
        <f>IF(Q20&gt;Q19,"×","")</f>
        <v/>
      </c>
      <c r="Z20" s="153"/>
      <c r="AA20" s="153"/>
      <c r="AB20" s="153"/>
      <c r="AC20" s="153"/>
      <c r="AD20" s="153"/>
      <c r="AE20" s="153"/>
      <c r="AF20" s="153"/>
      <c r="AG20" s="153"/>
      <c r="AH20" s="153"/>
      <c r="AI20" s="153"/>
      <c r="AJ20" s="153"/>
      <c r="AK20" s="153"/>
      <c r="AL20" s="153"/>
      <c r="AM20" s="1099" t="s">
        <v>2248</v>
      </c>
      <c r="AN20" s="1100"/>
      <c r="AO20" s="1100"/>
      <c r="AP20" s="1100"/>
      <c r="AQ20" s="1100"/>
      <c r="AR20" s="1100"/>
      <c r="AS20" s="1100"/>
      <c r="AT20" s="1100"/>
      <c r="AU20" s="1100"/>
      <c r="AV20" s="1100"/>
      <c r="AW20" s="1100"/>
      <c r="AX20" s="1100"/>
      <c r="AY20" s="1101"/>
    </row>
    <row r="21" spans="1:51" ht="28.5" customHeight="1" thickBot="1">
      <c r="A21" s="153"/>
      <c r="B21" s="181" t="s">
        <v>9</v>
      </c>
      <c r="C21" s="785" t="s">
        <v>2284</v>
      </c>
      <c r="D21" s="1089"/>
      <c r="E21" s="1089"/>
      <c r="F21" s="1089"/>
      <c r="G21" s="1089"/>
      <c r="H21" s="1089"/>
      <c r="I21" s="1089"/>
      <c r="J21" s="1089"/>
      <c r="K21" s="1089"/>
      <c r="L21" s="1089"/>
      <c r="M21" s="1089"/>
      <c r="N21" s="1089"/>
      <c r="O21" s="1089"/>
      <c r="P21" s="1089"/>
      <c r="Q21" s="990">
        <f>Q18-Q20</f>
        <v>134353363</v>
      </c>
      <c r="R21" s="991"/>
      <c r="S21" s="991"/>
      <c r="T21" s="991"/>
      <c r="U21" s="991"/>
      <c r="V21" s="992"/>
      <c r="W21" s="182" t="s">
        <v>1</v>
      </c>
      <c r="X21" s="155" t="s">
        <v>237</v>
      </c>
      <c r="Y21" s="835" t="str">
        <f>IFERROR(IF(Q22&gt;=Q21,"○","×"),"")</f>
        <v>○</v>
      </c>
      <c r="Z21" s="153"/>
      <c r="AA21" s="153"/>
      <c r="AB21" s="153"/>
      <c r="AC21" s="153"/>
      <c r="AD21" s="153"/>
      <c r="AE21" s="153"/>
      <c r="AF21" s="153"/>
      <c r="AG21" s="153"/>
      <c r="AH21" s="153"/>
      <c r="AI21" s="153"/>
      <c r="AJ21" s="153"/>
      <c r="AK21" s="153"/>
      <c r="AL21" s="153"/>
      <c r="AM21" s="789" t="s">
        <v>2360</v>
      </c>
      <c r="AN21" s="787"/>
      <c r="AO21" s="787"/>
      <c r="AP21" s="787"/>
      <c r="AQ21" s="787"/>
      <c r="AR21" s="787"/>
      <c r="AS21" s="787"/>
      <c r="AT21" s="787"/>
      <c r="AU21" s="787"/>
      <c r="AV21" s="787"/>
      <c r="AW21" s="787"/>
      <c r="AX21" s="787"/>
      <c r="AY21" s="788"/>
    </row>
    <row r="22" spans="1:51" ht="30" customHeight="1" thickBot="1">
      <c r="A22" s="153"/>
      <c r="B22" s="181" t="s">
        <v>98</v>
      </c>
      <c r="C22" s="785" t="s">
        <v>2219</v>
      </c>
      <c r="D22" s="785"/>
      <c r="E22" s="785"/>
      <c r="F22" s="785"/>
      <c r="G22" s="785"/>
      <c r="H22" s="785"/>
      <c r="I22" s="785"/>
      <c r="J22" s="785"/>
      <c r="K22" s="785"/>
      <c r="L22" s="785"/>
      <c r="M22" s="785"/>
      <c r="N22" s="785"/>
      <c r="O22" s="785"/>
      <c r="P22" s="785"/>
      <c r="Q22" s="999">
        <v>140000000</v>
      </c>
      <c r="R22" s="1000"/>
      <c r="S22" s="1000"/>
      <c r="T22" s="1000"/>
      <c r="U22" s="1000"/>
      <c r="V22" s="1001"/>
      <c r="W22" s="183" t="s">
        <v>1</v>
      </c>
      <c r="X22" s="155" t="s">
        <v>237</v>
      </c>
      <c r="Y22" s="836"/>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5" t="s">
        <v>2283</v>
      </c>
      <c r="D25" s="785"/>
      <c r="E25" s="785"/>
      <c r="F25" s="785"/>
      <c r="G25" s="785"/>
      <c r="H25" s="785"/>
      <c r="I25" s="785"/>
      <c r="J25" s="785"/>
      <c r="K25" s="785"/>
      <c r="L25" s="785"/>
      <c r="M25" s="785"/>
      <c r="N25" s="785"/>
      <c r="O25" s="785"/>
      <c r="P25" s="786"/>
      <c r="Q25" s="1091">
        <f>Q19-Q20</f>
        <v>107937207</v>
      </c>
      <c r="R25" s="1092"/>
      <c r="S25" s="1092"/>
      <c r="T25" s="1092"/>
      <c r="U25" s="1092"/>
      <c r="V25" s="1092"/>
      <c r="W25" s="173" t="s">
        <v>1</v>
      </c>
      <c r="X25" s="155" t="s">
        <v>166</v>
      </c>
      <c r="Y25" s="1049" t="str">
        <f>IFERROR(IF(Q25&lt;=0,"",IF(Q26&gt;=Q25,"○","△")),"")</f>
        <v>△</v>
      </c>
      <c r="Z25" s="155" t="s">
        <v>2208</v>
      </c>
      <c r="AA25" s="835" t="str">
        <f>IFERROR(IF(Y25="△",IF(Q28&gt;=Q25,"○","△"),""),"")</f>
        <v>○</v>
      </c>
      <c r="AB25" s="153"/>
      <c r="AC25" s="153"/>
      <c r="AD25" s="153"/>
      <c r="AE25" s="153"/>
      <c r="AF25" s="153"/>
      <c r="AG25" s="153"/>
      <c r="AH25" s="153"/>
      <c r="AI25" s="153"/>
      <c r="AJ25" s="153"/>
      <c r="AK25" s="153"/>
      <c r="AL25" s="153"/>
    </row>
    <row r="26" spans="1:51" ht="37.5" customHeight="1" thickBot="1">
      <c r="A26" s="153"/>
      <c r="B26" s="181" t="s">
        <v>2207</v>
      </c>
      <c r="C26" s="785" t="s">
        <v>2309</v>
      </c>
      <c r="D26" s="785"/>
      <c r="E26" s="785"/>
      <c r="F26" s="785"/>
      <c r="G26" s="785"/>
      <c r="H26" s="785"/>
      <c r="I26" s="785"/>
      <c r="J26" s="785"/>
      <c r="K26" s="785"/>
      <c r="L26" s="785"/>
      <c r="M26" s="785"/>
      <c r="N26" s="785"/>
      <c r="O26" s="785"/>
      <c r="P26" s="786"/>
      <c r="Q26" s="999">
        <v>100000000</v>
      </c>
      <c r="R26" s="1000"/>
      <c r="S26" s="1000"/>
      <c r="T26" s="1000"/>
      <c r="U26" s="1000"/>
      <c r="V26" s="1001"/>
      <c r="W26" s="173" t="s">
        <v>1</v>
      </c>
      <c r="X26" s="155" t="s">
        <v>166</v>
      </c>
      <c r="Y26" s="1050"/>
      <c r="Z26" s="155"/>
      <c r="AA26" s="1045"/>
      <c r="AB26" s="153"/>
      <c r="AC26" s="153"/>
      <c r="AD26" s="153"/>
      <c r="AE26" s="153"/>
      <c r="AF26" s="153"/>
      <c r="AG26" s="153"/>
      <c r="AH26" s="153"/>
      <c r="AI26" s="153"/>
      <c r="AJ26" s="153"/>
      <c r="AK26" s="153"/>
      <c r="AL26" s="153"/>
    </row>
    <row r="27" spans="1:51" ht="26.25" customHeight="1" thickBot="1">
      <c r="A27" s="153"/>
      <c r="B27" s="181" t="s">
        <v>2209</v>
      </c>
      <c r="C27" s="785" t="s">
        <v>2251</v>
      </c>
      <c r="D27" s="785"/>
      <c r="E27" s="785"/>
      <c r="F27" s="785"/>
      <c r="G27" s="785"/>
      <c r="H27" s="785"/>
      <c r="I27" s="785"/>
      <c r="J27" s="785"/>
      <c r="K27" s="785"/>
      <c r="L27" s="785"/>
      <c r="M27" s="785"/>
      <c r="N27" s="785"/>
      <c r="O27" s="785"/>
      <c r="P27" s="786"/>
      <c r="Q27" s="999">
        <v>30000000</v>
      </c>
      <c r="R27" s="1000"/>
      <c r="S27" s="1000"/>
      <c r="T27" s="1000"/>
      <c r="U27" s="1000"/>
      <c r="V27" s="1001"/>
      <c r="W27" s="173" t="s">
        <v>1</v>
      </c>
      <c r="X27" s="155"/>
      <c r="Y27" s="155"/>
      <c r="Z27" s="155"/>
      <c r="AA27" s="1045"/>
      <c r="AB27" s="153"/>
      <c r="AC27" s="153"/>
      <c r="AD27" s="153"/>
      <c r="AE27" s="153"/>
      <c r="AF27" s="153"/>
      <c r="AG27" s="153"/>
      <c r="AH27" s="153"/>
      <c r="AI27" s="153"/>
      <c r="AJ27" s="153"/>
      <c r="AK27" s="153"/>
      <c r="AL27" s="153"/>
      <c r="AM27" s="790" t="s">
        <v>2385</v>
      </c>
      <c r="AN27" s="791"/>
      <c r="AO27" s="791"/>
      <c r="AP27" s="791"/>
      <c r="AQ27" s="791"/>
      <c r="AR27" s="791"/>
      <c r="AS27" s="791"/>
      <c r="AT27" s="791"/>
      <c r="AU27" s="791"/>
      <c r="AV27" s="791"/>
      <c r="AW27" s="791"/>
      <c r="AX27" s="791"/>
      <c r="AY27" s="792"/>
    </row>
    <row r="28" spans="1:51" ht="16.5" customHeight="1" thickBot="1">
      <c r="A28" s="153"/>
      <c r="B28" s="181" t="s">
        <v>2218</v>
      </c>
      <c r="C28" s="785" t="s">
        <v>2282</v>
      </c>
      <c r="D28" s="785"/>
      <c r="E28" s="785"/>
      <c r="F28" s="785"/>
      <c r="G28" s="785"/>
      <c r="H28" s="785"/>
      <c r="I28" s="785"/>
      <c r="J28" s="785"/>
      <c r="K28" s="785"/>
      <c r="L28" s="785"/>
      <c r="M28" s="785"/>
      <c r="N28" s="785"/>
      <c r="O28" s="785"/>
      <c r="P28" s="786"/>
      <c r="Q28" s="1042">
        <f>Q26+Q27</f>
        <v>130000000</v>
      </c>
      <c r="R28" s="1043"/>
      <c r="S28" s="1043"/>
      <c r="T28" s="1043"/>
      <c r="U28" s="1043"/>
      <c r="V28" s="1044"/>
      <c r="W28" s="173" t="s">
        <v>1</v>
      </c>
      <c r="X28" s="153"/>
      <c r="Y28" s="153"/>
      <c r="Z28" s="153" t="s">
        <v>2208</v>
      </c>
      <c r="AA28" s="836"/>
      <c r="AB28" s="153"/>
      <c r="AC28" s="153"/>
      <c r="AD28" s="153"/>
      <c r="AE28" s="153"/>
      <c r="AF28" s="153"/>
      <c r="AG28" s="153"/>
      <c r="AH28" s="153"/>
      <c r="AI28" s="153"/>
      <c r="AJ28" s="153"/>
      <c r="AK28" s="153"/>
      <c r="AL28" s="153"/>
      <c r="AM28" s="793"/>
      <c r="AN28" s="794"/>
      <c r="AO28" s="794"/>
      <c r="AP28" s="794"/>
      <c r="AQ28" s="794"/>
      <c r="AR28" s="794"/>
      <c r="AS28" s="794"/>
      <c r="AT28" s="794"/>
      <c r="AU28" s="794"/>
      <c r="AV28" s="794"/>
      <c r="AW28" s="794"/>
      <c r="AX28" s="794"/>
      <c r="AY28" s="79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3"/>
    </row>
    <row r="32" spans="1:51" ht="48" customHeight="1">
      <c r="A32" s="153"/>
      <c r="B32" s="188"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3"/>
    </row>
    <row r="33" spans="1:51" ht="24.75" customHeight="1">
      <c r="A33" s="153"/>
      <c r="B33" s="188"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3"/>
    </row>
    <row r="34" spans="1:51" ht="35.25" customHeight="1">
      <c r="A34" s="153"/>
      <c r="B34" s="188" t="s">
        <v>48</v>
      </c>
      <c r="C34" s="797" t="s">
        <v>2362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0"/>
    </row>
    <row r="37" spans="1:51" ht="18.75" customHeight="1" thickBot="1">
      <c r="A37" s="153"/>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5" t="s">
        <v>166</v>
      </c>
      <c r="AB37" s="180" t="str">
        <f>IFERROR(IF(AM36=TRUE,"○","×"),"")</f>
        <v>○</v>
      </c>
      <c r="AC37" s="155"/>
      <c r="AD37" s="155"/>
      <c r="AE37" s="155"/>
      <c r="AF37" s="155"/>
      <c r="AG37" s="155"/>
      <c r="AH37" s="155"/>
      <c r="AI37" s="155"/>
      <c r="AJ37" s="155"/>
      <c r="AK37" s="155"/>
      <c r="AL37" s="153"/>
      <c r="AM37" s="789" t="s">
        <v>2235</v>
      </c>
      <c r="AN37" s="787"/>
      <c r="AO37" s="787"/>
      <c r="AP37" s="787"/>
      <c r="AQ37" s="787"/>
      <c r="AR37" s="787"/>
      <c r="AS37" s="787"/>
      <c r="AT37" s="787"/>
      <c r="AU37" s="787"/>
      <c r="AV37" s="787"/>
      <c r="AW37" s="787"/>
      <c r="AX37" s="787"/>
      <c r="AY37" s="788"/>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3"/>
    </row>
    <row r="41" spans="1:51" ht="24.75" customHeight="1" thickBot="1">
      <c r="A41" s="153"/>
      <c r="B41" s="188"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8" t="s">
        <v>2361</v>
      </c>
      <c r="AN42" s="787"/>
      <c r="AO42" s="787"/>
      <c r="AP42" s="787"/>
      <c r="AQ42" s="787"/>
      <c r="AR42" s="787"/>
      <c r="AS42" s="787"/>
      <c r="AT42" s="787"/>
      <c r="AU42" s="787"/>
      <c r="AV42" s="787"/>
      <c r="AW42" s="787"/>
      <c r="AX42" s="787"/>
      <c r="AY42" s="788"/>
    </row>
    <row r="43" spans="1:51" ht="21.75" customHeight="1" thickBot="1">
      <c r="A43" s="153"/>
      <c r="B43" s="1161" t="s">
        <v>242</v>
      </c>
      <c r="C43" s="1162"/>
      <c r="D43" s="1162"/>
      <c r="E43" s="1162"/>
      <c r="F43" s="1162"/>
      <c r="G43" s="1162"/>
      <c r="H43" s="1162"/>
      <c r="I43" s="1162"/>
      <c r="J43" s="1162"/>
      <c r="K43" s="1162"/>
      <c r="L43" s="1162"/>
      <c r="M43" s="1162"/>
      <c r="N43" s="1163"/>
      <c r="O43" s="1152" t="s">
        <v>19</v>
      </c>
      <c r="P43" s="1153"/>
      <c r="Q43" s="1103">
        <v>6</v>
      </c>
      <c r="R43" s="1103"/>
      <c r="S43" s="193" t="s">
        <v>10</v>
      </c>
      <c r="T43" s="1104">
        <v>6</v>
      </c>
      <c r="U43" s="1105"/>
      <c r="V43" s="194" t="s">
        <v>11</v>
      </c>
      <c r="W43" s="1117" t="s">
        <v>12</v>
      </c>
      <c r="X43" s="1117"/>
      <c r="Y43" s="1117" t="s">
        <v>19</v>
      </c>
      <c r="Z43" s="1160"/>
      <c r="AA43" s="1104">
        <v>7</v>
      </c>
      <c r="AB43" s="1105"/>
      <c r="AC43" s="195" t="s">
        <v>10</v>
      </c>
      <c r="AD43" s="1104">
        <v>5</v>
      </c>
      <c r="AE43" s="1105"/>
      <c r="AF43" s="194" t="s">
        <v>11</v>
      </c>
      <c r="AG43" s="194" t="s">
        <v>84</v>
      </c>
      <c r="AH43" s="194">
        <f>IF(Q43&gt;=1,(AA43*12+AD43)-(Q43*12+T43)+1,"")</f>
        <v>12</v>
      </c>
      <c r="AI43" s="1117" t="s">
        <v>85</v>
      </c>
      <c r="AJ43" s="1117"/>
      <c r="AK43" s="196" t="s">
        <v>39</v>
      </c>
      <c r="AL43" s="153"/>
      <c r="AM43" s="185"/>
      <c r="AX43" s="190"/>
    </row>
    <row r="44" spans="1:51" s="163" customFormat="1" ht="25.5" customHeight="1" thickBot="1">
      <c r="A44" s="162"/>
      <c r="B44" s="1154" t="s">
        <v>243</v>
      </c>
      <c r="C44" s="1155"/>
      <c r="D44" s="1155"/>
      <c r="E44" s="1155"/>
      <c r="F44" s="197" t="b">
        <v>1</v>
      </c>
      <c r="G44" s="1149" t="s">
        <v>26</v>
      </c>
      <c r="H44" s="1150"/>
      <c r="I44" s="1172"/>
      <c r="J44" s="198" t="b">
        <v>0</v>
      </c>
      <c r="K44" s="1149" t="s">
        <v>49</v>
      </c>
      <c r="L44" s="1150"/>
      <c r="M44" s="1150"/>
      <c r="N44" s="1150"/>
      <c r="O44" s="1127"/>
      <c r="P44" s="199" t="b">
        <v>0</v>
      </c>
      <c r="Q44" s="1157" t="s">
        <v>50</v>
      </c>
      <c r="R44" s="1158"/>
      <c r="S44" s="1158"/>
      <c r="T44" s="1158"/>
      <c r="U44" s="1158"/>
      <c r="V44" s="1159"/>
      <c r="W44" s="199"/>
      <c r="X44" s="1157" t="s">
        <v>27</v>
      </c>
      <c r="Y44" s="1158"/>
      <c r="Z44" s="1159"/>
      <c r="AA44" s="199" t="b">
        <v>1</v>
      </c>
      <c r="AB44" s="1164" t="s">
        <v>23</v>
      </c>
      <c r="AC44" s="1165"/>
      <c r="AD44" s="200" t="s">
        <v>87</v>
      </c>
      <c r="AE44" s="1151"/>
      <c r="AF44" s="1151"/>
      <c r="AG44" s="1151"/>
      <c r="AH44" s="1151"/>
      <c r="AI44" s="1151"/>
      <c r="AJ44" s="971" t="s">
        <v>92</v>
      </c>
      <c r="AK44" s="1166"/>
      <c r="AL44" s="162"/>
      <c r="AM44" s="778" t="s">
        <v>2243</v>
      </c>
      <c r="AN44" s="787"/>
      <c r="AO44" s="787"/>
      <c r="AP44" s="787"/>
      <c r="AQ44" s="787"/>
      <c r="AR44" s="787"/>
      <c r="AS44" s="787"/>
      <c r="AT44" s="787"/>
      <c r="AU44" s="787"/>
      <c r="AV44" s="787"/>
      <c r="AW44" s="787"/>
      <c r="AX44" s="787"/>
      <c r="AY44" s="788"/>
    </row>
    <row r="45" spans="1:51" s="163" customFormat="1" ht="18.75" customHeight="1" thickBot="1">
      <c r="A45" s="162"/>
      <c r="B45" s="1005" t="s">
        <v>244</v>
      </c>
      <c r="C45" s="1006"/>
      <c r="D45" s="1006"/>
      <c r="E45" s="1006"/>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7"/>
      <c r="C46" s="821"/>
      <c r="D46" s="821"/>
      <c r="E46" s="821"/>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6"/>
      <c r="Z46" s="1156"/>
      <c r="AA46" s="1156"/>
      <c r="AB46" s="1156"/>
      <c r="AC46" s="1156"/>
      <c r="AD46" s="1156"/>
      <c r="AE46" s="1156"/>
      <c r="AF46" s="1156"/>
      <c r="AG46" s="1156"/>
      <c r="AH46" s="1156"/>
      <c r="AI46" s="1156"/>
      <c r="AJ46" s="1156"/>
      <c r="AK46" s="209" t="s">
        <v>25</v>
      </c>
      <c r="AL46" s="162"/>
      <c r="AM46" s="790" t="s">
        <v>2243</v>
      </c>
      <c r="AN46" s="1167"/>
      <c r="AO46" s="1167"/>
      <c r="AP46" s="1167"/>
      <c r="AQ46" s="1167"/>
      <c r="AR46" s="1167"/>
      <c r="AS46" s="1167"/>
      <c r="AT46" s="1167"/>
      <c r="AU46" s="1167"/>
      <c r="AV46" s="1167"/>
      <c r="AW46" s="1167"/>
      <c r="AX46" s="1167"/>
      <c r="AY46" s="1168"/>
    </row>
    <row r="47" spans="1:51" s="163" customFormat="1" ht="19.5" customHeight="1" thickBot="1">
      <c r="A47" s="162"/>
      <c r="B47" s="1007"/>
      <c r="C47" s="821"/>
      <c r="D47" s="821"/>
      <c r="E47" s="821"/>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9"/>
      <c r="AN47" s="1170"/>
      <c r="AO47" s="1170"/>
      <c r="AP47" s="1170"/>
      <c r="AQ47" s="1170"/>
      <c r="AR47" s="1170"/>
      <c r="AS47" s="1170"/>
      <c r="AT47" s="1170"/>
      <c r="AU47" s="1170"/>
      <c r="AV47" s="1170"/>
      <c r="AW47" s="1170"/>
      <c r="AX47" s="1170"/>
      <c r="AY47" s="1171"/>
    </row>
    <row r="48" spans="1:51" s="163" customFormat="1" ht="20.25" customHeight="1">
      <c r="A48" s="162"/>
      <c r="B48" s="1007"/>
      <c r="C48" s="821"/>
      <c r="D48" s="821"/>
      <c r="E48" s="821"/>
      <c r="F48" s="1018" t="s">
        <v>2439</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2"/>
    </row>
    <row r="49" spans="1:55" s="163" customFormat="1" ht="18" customHeight="1">
      <c r="A49" s="162"/>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2"/>
      <c r="AM49" s="212" t="s">
        <v>2294</v>
      </c>
      <c r="AR49" s="151" t="b">
        <v>0</v>
      </c>
      <c r="AS49" s="796" t="s">
        <v>2295</v>
      </c>
      <c r="AT49" s="796"/>
    </row>
    <row r="50" spans="1:55" s="163" customFormat="1" ht="18" customHeight="1">
      <c r="A50" s="162"/>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2"/>
      <c r="AM50" s="151" t="b">
        <v>1</v>
      </c>
      <c r="AN50" s="796" t="s">
        <v>2289</v>
      </c>
      <c r="AO50" s="796"/>
      <c r="AP50" s="796"/>
      <c r="AR50" s="151" t="b">
        <v>1</v>
      </c>
      <c r="AS50" s="796" t="s">
        <v>2296</v>
      </c>
      <c r="AT50" s="796"/>
    </row>
    <row r="51" spans="1:55" s="163" customFormat="1" ht="18" customHeight="1">
      <c r="A51" s="162"/>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2"/>
      <c r="AM51" s="151" t="b">
        <v>0</v>
      </c>
      <c r="AN51" s="796" t="s">
        <v>2290</v>
      </c>
      <c r="AO51" s="796"/>
      <c r="AP51" s="796"/>
      <c r="AR51" s="151" t="b">
        <v>0</v>
      </c>
      <c r="AS51" s="796" t="s">
        <v>2293</v>
      </c>
      <c r="AT51" s="796"/>
    </row>
    <row r="52" spans="1:55" s="163" customFormat="1" ht="18" customHeight="1">
      <c r="A52" s="162"/>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2"/>
      <c r="AM52" s="151" t="b">
        <v>0</v>
      </c>
      <c r="AN52" s="796" t="s">
        <v>2291</v>
      </c>
      <c r="AO52" s="796"/>
      <c r="AP52" s="796"/>
      <c r="AR52" s="151" t="b">
        <v>1</v>
      </c>
      <c r="AS52" s="796" t="s">
        <v>2297</v>
      </c>
      <c r="AT52" s="796"/>
    </row>
    <row r="53" spans="1:55" s="163" customFormat="1" ht="18.75" customHeight="1">
      <c r="A53" s="162"/>
      <c r="B53" s="1007"/>
      <c r="C53" s="821"/>
      <c r="D53" s="821"/>
      <c r="E53" s="821"/>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1</v>
      </c>
      <c r="AN53" s="796" t="s">
        <v>2292</v>
      </c>
      <c r="AO53" s="796"/>
      <c r="AP53" s="796"/>
      <c r="AQ53"/>
      <c r="AR53" s="151" t="b">
        <v>0</v>
      </c>
      <c r="AS53" s="796" t="s">
        <v>2298</v>
      </c>
      <c r="AT53" s="796"/>
      <c r="AV53"/>
      <c r="BC53"/>
    </row>
    <row r="54" spans="1:55" ht="18.75" customHeight="1">
      <c r="A54" s="153"/>
      <c r="B54" s="1008"/>
      <c r="C54" s="1009"/>
      <c r="D54" s="1009"/>
      <c r="E54" s="1009"/>
      <c r="F54" s="215" t="s">
        <v>86</v>
      </c>
      <c r="G54" s="216"/>
      <c r="H54" s="216"/>
      <c r="I54" s="216"/>
      <c r="J54" s="216"/>
      <c r="K54" s="216"/>
      <c r="L54" s="216"/>
      <c r="M54" s="1010" t="s">
        <v>2388</v>
      </c>
      <c r="N54" s="798"/>
      <c r="O54" s="798"/>
      <c r="P54" s="798">
        <v>30</v>
      </c>
      <c r="Q54" s="798"/>
      <c r="R54" s="211" t="s">
        <v>4</v>
      </c>
      <c r="S54" s="798">
        <v>4</v>
      </c>
      <c r="T54" s="798"/>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6" t="s">
        <v>2293</v>
      </c>
      <c r="AO54" s="796"/>
      <c r="AP54" s="796"/>
      <c r="AR54" s="151" t="b">
        <v>1</v>
      </c>
      <c r="AS54" s="796" t="s">
        <v>2299</v>
      </c>
      <c r="AT54" s="796"/>
    </row>
    <row r="55" spans="1:55" ht="24.75" customHeight="1">
      <c r="A55" s="153"/>
      <c r="B55" s="1062" t="s">
        <v>247</v>
      </c>
      <c r="C55" s="1063"/>
      <c r="D55" s="1063"/>
      <c r="E55" s="1064"/>
      <c r="F55" s="864"/>
      <c r="G55" s="866" t="s">
        <v>245</v>
      </c>
      <c r="H55" s="867"/>
      <c r="I55" s="868"/>
      <c r="J55" s="866" t="s">
        <v>246</v>
      </c>
      <c r="K55" s="867"/>
      <c r="L55" s="867"/>
      <c r="M55" s="1056"/>
      <c r="N55" s="1058" t="s">
        <v>2440</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19"/>
      <c r="AM55" s="163"/>
    </row>
    <row r="56" spans="1:55" ht="18.75" customHeight="1" thickBot="1">
      <c r="A56" s="153"/>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3"/>
    </row>
    <row r="59" spans="1:55" ht="33" customHeight="1" thickBot="1">
      <c r="A59" s="153"/>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3"/>
      <c r="AS59" s="190"/>
    </row>
    <row r="60" spans="1:55" ht="18.75" customHeight="1">
      <c r="A60" s="153"/>
      <c r="B60" s="222"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61119570</v>
      </c>
      <c r="U60" s="1202"/>
      <c r="V60" s="1202"/>
      <c r="W60" s="1202"/>
      <c r="X60" s="1202"/>
      <c r="Y60" s="1203"/>
      <c r="Z60" s="182" t="s">
        <v>1</v>
      </c>
      <c r="AA60" s="171" t="s">
        <v>166</v>
      </c>
      <c r="AB60" s="1049" t="str">
        <f>IFERROR(IF(T61&gt;=T60,"○","×"),"")</f>
        <v>×</v>
      </c>
      <c r="AC60" s="223"/>
      <c r="AD60" s="224"/>
      <c r="AE60" s="224"/>
      <c r="AF60" s="224"/>
      <c r="AG60" s="224"/>
      <c r="AH60" s="224"/>
      <c r="AI60" s="224"/>
      <c r="AJ60" s="224"/>
      <c r="AK60" s="224"/>
      <c r="AL60" s="153"/>
      <c r="AM60" s="790" t="s">
        <v>2287</v>
      </c>
      <c r="AN60" s="791"/>
      <c r="AO60" s="791"/>
      <c r="AP60" s="791"/>
      <c r="AQ60" s="791"/>
      <c r="AR60" s="791"/>
      <c r="AS60" s="791"/>
      <c r="AT60" s="791"/>
      <c r="AU60" s="791"/>
      <c r="AV60" s="791"/>
      <c r="AW60" s="791"/>
      <c r="AX60" s="791"/>
      <c r="AY60" s="792"/>
    </row>
    <row r="61" spans="1:55" ht="27" customHeight="1" thickBot="1">
      <c r="A61" s="153"/>
      <c r="B61" s="222" t="s">
        <v>9</v>
      </c>
      <c r="C61" s="1198" t="s">
        <v>2097</v>
      </c>
      <c r="D61" s="1199"/>
      <c r="E61" s="1199"/>
      <c r="F61" s="1199"/>
      <c r="G61" s="1199"/>
      <c r="H61" s="1199"/>
      <c r="I61" s="1199"/>
      <c r="J61" s="1199"/>
      <c r="K61" s="1199"/>
      <c r="L61" s="1199"/>
      <c r="M61" s="1199"/>
      <c r="N61" s="1199"/>
      <c r="O61" s="1199"/>
      <c r="P61" s="1199"/>
      <c r="Q61" s="1199"/>
      <c r="R61" s="1199"/>
      <c r="S61" s="1200"/>
      <c r="T61" s="1204">
        <v>30000000</v>
      </c>
      <c r="U61" s="1205"/>
      <c r="V61" s="1205"/>
      <c r="W61" s="1205"/>
      <c r="X61" s="1205"/>
      <c r="Y61" s="1206"/>
      <c r="Z61" s="173" t="s">
        <v>1</v>
      </c>
      <c r="AA61" s="171" t="s">
        <v>166</v>
      </c>
      <c r="AB61" s="1050"/>
      <c r="AC61" s="223"/>
      <c r="AD61" s="224"/>
      <c r="AE61" s="224"/>
      <c r="AF61" s="224"/>
      <c r="AG61" s="224"/>
      <c r="AH61" s="224"/>
      <c r="AI61" s="224"/>
      <c r="AJ61" s="224"/>
      <c r="AK61" s="224"/>
      <c r="AL61" s="153"/>
      <c r="AM61" s="793"/>
      <c r="AN61" s="794"/>
      <c r="AO61" s="794"/>
      <c r="AP61" s="794"/>
      <c r="AQ61" s="794"/>
      <c r="AR61" s="794"/>
      <c r="AS61" s="794"/>
      <c r="AT61" s="794"/>
      <c r="AU61" s="794"/>
      <c r="AV61" s="794"/>
      <c r="AW61" s="794"/>
      <c r="AX61" s="794"/>
      <c r="AY61" s="795"/>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2" t="s">
        <v>2368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8" t="s">
        <v>2339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3"/>
    </row>
    <row r="67" spans="1:74" ht="23.25" customHeight="1" thickBot="1">
      <c r="A67" s="153"/>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8704414</v>
      </c>
      <c r="U67" s="961"/>
      <c r="V67" s="961"/>
      <c r="W67" s="961"/>
      <c r="X67" s="961"/>
      <c r="Y67" s="229" t="s">
        <v>1</v>
      </c>
      <c r="Z67" s="230" t="s">
        <v>2306</v>
      </c>
      <c r="AA67" s="231"/>
      <c r="AB67" s="153"/>
      <c r="AC67" s="153"/>
      <c r="AD67" s="153"/>
      <c r="AE67" s="153"/>
      <c r="AF67" s="153"/>
      <c r="AG67" s="153" t="s">
        <v>166</v>
      </c>
      <c r="AH67" s="232" t="str">
        <f>IF(T68&lt;T67,"×","")</f>
        <v/>
      </c>
      <c r="AI67" s="153"/>
      <c r="AJ67" s="153"/>
      <c r="AK67" s="153"/>
      <c r="AL67" s="153"/>
      <c r="AM67" s="778" t="s">
        <v>2369</v>
      </c>
      <c r="AN67" s="779"/>
      <c r="AO67" s="779"/>
      <c r="AP67" s="779"/>
      <c r="AQ67" s="779"/>
      <c r="AR67" s="779"/>
      <c r="AS67" s="779"/>
      <c r="AT67" s="779"/>
      <c r="AU67" s="779"/>
      <c r="AV67" s="779"/>
      <c r="AW67" s="779"/>
      <c r="AX67" s="779"/>
      <c r="AY67" s="780"/>
    </row>
    <row r="68" spans="1:74" ht="23.25" customHeight="1" thickBot="1">
      <c r="A68" s="153"/>
      <c r="B68" s="1029" t="s">
        <v>2363</v>
      </c>
      <c r="C68" s="1030"/>
      <c r="D68" s="1030"/>
      <c r="E68" s="1030"/>
      <c r="F68" s="1030"/>
      <c r="G68" s="1030"/>
      <c r="H68" s="1030"/>
      <c r="I68" s="1030"/>
      <c r="J68" s="1030"/>
      <c r="K68" s="1030"/>
      <c r="L68" s="1030"/>
      <c r="M68" s="1030"/>
      <c r="N68" s="1030"/>
      <c r="O68" s="1030"/>
      <c r="P68" s="1030"/>
      <c r="Q68" s="1030"/>
      <c r="R68" s="1030"/>
      <c r="S68" s="1030"/>
      <c r="T68" s="886">
        <v>8704414</v>
      </c>
      <c r="U68" s="887"/>
      <c r="V68" s="887"/>
      <c r="W68" s="887"/>
      <c r="X68" s="888"/>
      <c r="Y68" s="233" t="s">
        <v>1</v>
      </c>
      <c r="Z68" s="153"/>
      <c r="AA68" s="234" t="s">
        <v>24</v>
      </c>
      <c r="AB68" s="837">
        <f>IFERROR(T69/T67*100,0)</f>
        <v>68.9305448936597</v>
      </c>
      <c r="AC68" s="838"/>
      <c r="AD68" s="839"/>
      <c r="AE68" s="235" t="s">
        <v>138</v>
      </c>
      <c r="AF68" s="235" t="s">
        <v>25</v>
      </c>
      <c r="AG68" s="153" t="s">
        <v>237</v>
      </c>
      <c r="AH68" s="180" t="str">
        <f>IF(T67=0,"",(IF(AB68&gt;=200/3,"○","×")))</f>
        <v>○</v>
      </c>
      <c r="AI68" s="218"/>
      <c r="AJ68" s="218"/>
      <c r="AK68" s="218"/>
      <c r="AL68" s="153"/>
      <c r="AM68" s="778" t="s">
        <v>2341</v>
      </c>
      <c r="AN68" s="779"/>
      <c r="AO68" s="779"/>
      <c r="AP68" s="779"/>
      <c r="AQ68" s="779"/>
      <c r="AR68" s="779"/>
      <c r="AS68" s="779"/>
      <c r="AT68" s="779"/>
      <c r="AU68" s="779"/>
      <c r="AV68" s="779"/>
      <c r="AW68" s="779"/>
      <c r="AX68" s="779"/>
      <c r="AY68" s="780"/>
    </row>
    <row r="69" spans="1:74" ht="19.5" customHeight="1" thickBot="1">
      <c r="A69" s="153"/>
      <c r="B69" s="236"/>
      <c r="C69" s="1027" t="s">
        <v>2365</v>
      </c>
      <c r="D69" s="1027"/>
      <c r="E69" s="1027"/>
      <c r="F69" s="1027"/>
      <c r="G69" s="1027"/>
      <c r="H69" s="1027"/>
      <c r="I69" s="1027"/>
      <c r="J69" s="1027"/>
      <c r="K69" s="1027"/>
      <c r="L69" s="1027"/>
      <c r="M69" s="1027"/>
      <c r="N69" s="1027"/>
      <c r="O69" s="1027"/>
      <c r="P69" s="1027"/>
      <c r="Q69" s="1027"/>
      <c r="R69" s="1027"/>
      <c r="S69" s="1027"/>
      <c r="T69" s="1173">
        <v>6000000</v>
      </c>
      <c r="U69" s="1174"/>
      <c r="V69" s="1174"/>
      <c r="W69" s="1174"/>
      <c r="X69" s="1175"/>
      <c r="Y69" s="237" t="s">
        <v>1</v>
      </c>
      <c r="Z69" s="238" t="s">
        <v>2306</v>
      </c>
      <c r="AA69" s="128"/>
      <c r="AB69" s="239"/>
      <c r="AC69" s="240"/>
      <c r="AD69" s="241"/>
      <c r="AE69" s="241"/>
      <c r="AF69" s="235"/>
      <c r="AG69" s="153"/>
      <c r="AH69" s="153"/>
      <c r="AI69" s="218"/>
      <c r="AJ69" s="153"/>
      <c r="AK69" s="218"/>
      <c r="AL69" s="218"/>
    </row>
    <row r="70" spans="1:74" ht="16.5" customHeight="1">
      <c r="A70" s="153"/>
      <c r="B70" s="242"/>
      <c r="C70" s="1028"/>
      <c r="D70" s="1028"/>
      <c r="E70" s="1028"/>
      <c r="F70" s="1028"/>
      <c r="G70" s="1028"/>
      <c r="H70" s="1028"/>
      <c r="I70" s="1028"/>
      <c r="J70" s="1028"/>
      <c r="K70" s="1028"/>
      <c r="L70" s="1028"/>
      <c r="M70" s="1028"/>
      <c r="N70" s="1028"/>
      <c r="O70" s="1028"/>
      <c r="P70" s="1028"/>
      <c r="Q70" s="1028"/>
      <c r="R70" s="1028"/>
      <c r="S70" s="1028"/>
      <c r="T70" s="243" t="s">
        <v>24</v>
      </c>
      <c r="U70" s="874">
        <f>T69/10</f>
        <v>600000</v>
      </c>
      <c r="V70" s="874"/>
      <c r="W70" s="874"/>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8" t="s">
        <v>2364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27"/>
      <c r="AM74" s="151" t="b">
        <v>1</v>
      </c>
      <c r="AN74" s="796" t="s">
        <v>2300</v>
      </c>
      <c r="AO74" s="796"/>
      <c r="AP74" s="79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2"/>
      <c r="D75" s="1053"/>
      <c r="E75" s="1054" t="s">
        <v>2332</v>
      </c>
      <c r="F75" s="1054"/>
      <c r="G75" s="1054"/>
      <c r="H75" s="1054"/>
      <c r="I75" s="1054"/>
      <c r="J75" s="1054"/>
      <c r="K75" s="1054"/>
      <c r="L75" s="1054"/>
      <c r="M75" s="1054"/>
      <c r="N75" s="1054"/>
      <c r="O75" s="1054"/>
      <c r="P75" s="1054"/>
      <c r="Q75" s="1054"/>
      <c r="R75" s="1054"/>
      <c r="S75" s="1054"/>
      <c r="T75" s="1054"/>
      <c r="U75" s="1054"/>
      <c r="V75" s="1054"/>
      <c r="W75" s="1054"/>
      <c r="X75" s="1055"/>
      <c r="Y75" s="155" t="s">
        <v>166</v>
      </c>
      <c r="Z75" s="180" t="str">
        <f>IF('別紙様式2-2（４・５月分）'!AV8="継続ベア加算なし","",IF(AM74=TRUE,"○","×"))</f>
        <v>○</v>
      </c>
      <c r="AA75" s="247"/>
      <c r="AB75" s="247"/>
      <c r="AC75" s="247"/>
      <c r="AD75" s="247"/>
      <c r="AE75" s="247"/>
      <c r="AF75" s="247"/>
      <c r="AG75" s="247"/>
      <c r="AH75" s="247"/>
      <c r="AI75" s="247"/>
      <c r="AJ75" s="247"/>
      <c r="AK75" s="247"/>
      <c r="AL75" s="247"/>
      <c r="AM75" s="778" t="s">
        <v>2236</v>
      </c>
      <c r="AN75" s="787"/>
      <c r="AO75" s="787"/>
      <c r="AP75" s="787"/>
      <c r="AQ75" s="787"/>
      <c r="AR75" s="787"/>
      <c r="AS75" s="787"/>
      <c r="AT75" s="787"/>
      <c r="AU75" s="787"/>
      <c r="AV75" s="787"/>
      <c r="AW75" s="787"/>
      <c r="AX75" s="787"/>
      <c r="AY75" s="788"/>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2" t="s">
        <v>2331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2" t="s">
        <v>2159</v>
      </c>
      <c r="D79" s="813"/>
      <c r="E79" s="813"/>
      <c r="F79" s="813"/>
      <c r="G79" s="813"/>
      <c r="H79" s="813"/>
      <c r="I79" s="813"/>
      <c r="J79" s="813"/>
      <c r="K79" s="813"/>
      <c r="L79" s="813"/>
      <c r="M79" s="813"/>
      <c r="N79" s="813"/>
      <c r="O79" s="813"/>
      <c r="P79" s="813"/>
      <c r="Q79" s="813"/>
      <c r="R79" s="813"/>
      <c r="S79" s="813"/>
      <c r="T79" s="814"/>
      <c r="U79" s="960">
        <f>'別紙様式2-2（４・５月分）'!K8</f>
        <v>1127902</v>
      </c>
      <c r="V79" s="961"/>
      <c r="W79" s="961"/>
      <c r="X79" s="961"/>
      <c r="Y79" s="961"/>
      <c r="Z79" s="252" t="s">
        <v>1</v>
      </c>
      <c r="AA79" s="171" t="s">
        <v>166</v>
      </c>
      <c r="AB79" s="835" t="str">
        <f>IF('別紙様式2-2（４・５月分）'!AV7="新規ベア加算なし","",IF(U80&gt;=U79,"○","×"))</f>
        <v>○</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9" t="s">
        <v>2131</v>
      </c>
      <c r="D80" s="1179"/>
      <c r="E80" s="1179"/>
      <c r="F80" s="1179"/>
      <c r="G80" s="1179"/>
      <c r="H80" s="1179"/>
      <c r="I80" s="1179"/>
      <c r="J80" s="1179"/>
      <c r="K80" s="1179"/>
      <c r="L80" s="1179"/>
      <c r="M80" s="1179"/>
      <c r="N80" s="1179"/>
      <c r="O80" s="1179"/>
      <c r="P80" s="1179"/>
      <c r="Q80" s="1179"/>
      <c r="R80" s="1179"/>
      <c r="S80" s="1179"/>
      <c r="T80" s="1180"/>
      <c r="U80" s="960">
        <f>U81+U86</f>
        <v>1150000</v>
      </c>
      <c r="V80" s="961"/>
      <c r="W80" s="961"/>
      <c r="X80" s="961"/>
      <c r="Y80" s="961"/>
      <c r="Z80" s="229" t="s">
        <v>1</v>
      </c>
      <c r="AA80" s="171" t="s">
        <v>237</v>
      </c>
      <c r="AB80" s="836"/>
      <c r="AC80" s="171"/>
      <c r="AD80" s="171"/>
      <c r="AE80" s="171"/>
      <c r="AF80" s="171"/>
      <c r="AG80" s="171"/>
      <c r="AH80" s="218"/>
      <c r="AI80" s="218"/>
      <c r="AJ80" s="218"/>
      <c r="AK80" s="218"/>
      <c r="AL80" s="218"/>
      <c r="AM80" s="253"/>
    </row>
    <row r="81" spans="1:51" ht="9.75" customHeight="1" thickBot="1">
      <c r="A81" s="153"/>
      <c r="B81" s="251"/>
      <c r="C81" s="962" t="s">
        <v>165</v>
      </c>
      <c r="D81" s="963"/>
      <c r="E81" s="889" t="s">
        <v>2132</v>
      </c>
      <c r="F81" s="890"/>
      <c r="G81" s="890"/>
      <c r="H81" s="890"/>
      <c r="I81" s="890"/>
      <c r="J81" s="890"/>
      <c r="K81" s="890"/>
      <c r="L81" s="890"/>
      <c r="M81" s="890"/>
      <c r="N81" s="890"/>
      <c r="O81" s="890"/>
      <c r="P81" s="890"/>
      <c r="Q81" s="890"/>
      <c r="R81" s="890"/>
      <c r="S81" s="890"/>
      <c r="T81" s="891"/>
      <c r="U81" s="901">
        <v>1100000</v>
      </c>
      <c r="V81" s="902"/>
      <c r="W81" s="902"/>
      <c r="X81" s="902"/>
      <c r="Y81" s="903"/>
      <c r="Z81" s="910" t="s">
        <v>1</v>
      </c>
      <c r="AA81" s="958" t="s">
        <v>166</v>
      </c>
      <c r="AB81" s="153"/>
      <c r="AC81" s="235"/>
      <c r="AD81" s="254"/>
      <c r="AE81" s="254"/>
      <c r="AF81" s="235"/>
      <c r="AG81" s="153"/>
      <c r="AH81" s="218"/>
      <c r="AI81" s="153"/>
      <c r="AJ81" s="218"/>
      <c r="AK81" s="153"/>
      <c r="AL81" s="218"/>
      <c r="AM81" s="253"/>
    </row>
    <row r="82" spans="1:51" ht="9.75" customHeight="1" thickBot="1">
      <c r="A82" s="153"/>
      <c r="B82" s="251"/>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72.727272727272734</v>
      </c>
      <c r="AD82" s="857"/>
      <c r="AE82" s="858"/>
      <c r="AF82" s="854" t="s">
        <v>138</v>
      </c>
      <c r="AG82" s="854" t="s">
        <v>25</v>
      </c>
      <c r="AH82" s="855" t="s">
        <v>166</v>
      </c>
      <c r="AI82" s="835" t="str">
        <f>IF('別紙様式2-2（４・５月分）'!AV7="新規ベア加算なし","",IF(U81=0,"",IF(AND(AC82&gt;=200/3,AC82&lt;=100),"○","×")))</f>
        <v>○</v>
      </c>
      <c r="AJ82" s="218"/>
      <c r="AK82" s="153"/>
      <c r="AL82" s="218"/>
      <c r="AM82" s="1186" t="s">
        <v>2370</v>
      </c>
      <c r="AN82" s="1187"/>
      <c r="AO82" s="1187"/>
      <c r="AP82" s="1187"/>
      <c r="AQ82" s="1187"/>
      <c r="AR82" s="1187"/>
      <c r="AS82" s="1187"/>
      <c r="AT82" s="1187"/>
      <c r="AU82" s="1187"/>
      <c r="AV82" s="1187"/>
      <c r="AW82" s="1187"/>
      <c r="AX82" s="1187"/>
      <c r="AY82" s="1188"/>
    </row>
    <row r="83" spans="1:51" ht="9.75" customHeight="1" thickBot="1">
      <c r="A83" s="153"/>
      <c r="B83" s="251"/>
      <c r="C83" s="962"/>
      <c r="D83" s="963"/>
      <c r="E83" s="207"/>
      <c r="F83" s="895" t="s">
        <v>2366</v>
      </c>
      <c r="G83" s="896"/>
      <c r="H83" s="896"/>
      <c r="I83" s="896"/>
      <c r="J83" s="896"/>
      <c r="K83" s="896"/>
      <c r="L83" s="896"/>
      <c r="M83" s="896"/>
      <c r="N83" s="896"/>
      <c r="O83" s="896"/>
      <c r="P83" s="896"/>
      <c r="Q83" s="896"/>
      <c r="R83" s="896"/>
      <c r="S83" s="896"/>
      <c r="T83" s="896"/>
      <c r="U83" s="907">
        <v>800000</v>
      </c>
      <c r="V83" s="908"/>
      <c r="W83" s="908"/>
      <c r="X83" s="908"/>
      <c r="Y83" s="909"/>
      <c r="Z83" s="912" t="s">
        <v>1</v>
      </c>
      <c r="AA83" s="958" t="s">
        <v>166</v>
      </c>
      <c r="AB83" s="853"/>
      <c r="AC83" s="859"/>
      <c r="AD83" s="860"/>
      <c r="AE83" s="861"/>
      <c r="AF83" s="854"/>
      <c r="AG83" s="854"/>
      <c r="AH83" s="855"/>
      <c r="AI83" s="836"/>
      <c r="AJ83" s="218"/>
      <c r="AK83" s="153"/>
      <c r="AL83" s="218"/>
      <c r="AM83" s="1189"/>
      <c r="AN83" s="1190"/>
      <c r="AO83" s="1190"/>
      <c r="AP83" s="1190"/>
      <c r="AQ83" s="1190"/>
      <c r="AR83" s="1190"/>
      <c r="AS83" s="1190"/>
      <c r="AT83" s="1190"/>
      <c r="AU83" s="1190"/>
      <c r="AV83" s="1190"/>
      <c r="AW83" s="1190"/>
      <c r="AX83" s="1190"/>
      <c r="AY83" s="1191"/>
    </row>
    <row r="84" spans="1:51" ht="9.75" customHeight="1" thickBot="1">
      <c r="A84" s="153"/>
      <c r="B84" s="251"/>
      <c r="C84" s="962"/>
      <c r="D84" s="963"/>
      <c r="E84" s="255"/>
      <c r="F84" s="897"/>
      <c r="G84" s="898"/>
      <c r="H84" s="898"/>
      <c r="I84" s="898"/>
      <c r="J84" s="898"/>
      <c r="K84" s="898"/>
      <c r="L84" s="898"/>
      <c r="M84" s="898"/>
      <c r="N84" s="898"/>
      <c r="O84" s="898"/>
      <c r="P84" s="898"/>
      <c r="Q84" s="898"/>
      <c r="R84" s="898"/>
      <c r="S84" s="898"/>
      <c r="T84" s="898"/>
      <c r="U84" s="904"/>
      <c r="V84" s="905"/>
      <c r="W84" s="905"/>
      <c r="X84" s="905"/>
      <c r="Y84" s="906"/>
      <c r="Z84" s="913"/>
      <c r="AA84" s="958"/>
      <c r="AB84" s="153"/>
      <c r="AC84" s="153"/>
      <c r="AD84" s="153"/>
      <c r="AE84" s="153"/>
      <c r="AF84" s="153"/>
      <c r="AG84" s="153"/>
      <c r="AH84" s="153"/>
      <c r="AI84" s="153"/>
      <c r="AJ84" s="218"/>
      <c r="AK84" s="218"/>
      <c r="AL84" s="218"/>
    </row>
    <row r="85" spans="1:51" ht="15" customHeight="1" thickBot="1">
      <c r="A85" s="153"/>
      <c r="B85" s="251"/>
      <c r="C85" s="964"/>
      <c r="D85" s="965"/>
      <c r="E85" s="256"/>
      <c r="F85" s="899"/>
      <c r="G85" s="900"/>
      <c r="H85" s="900"/>
      <c r="I85" s="900"/>
      <c r="J85" s="900"/>
      <c r="K85" s="900"/>
      <c r="L85" s="900"/>
      <c r="M85" s="900"/>
      <c r="N85" s="900"/>
      <c r="O85" s="900"/>
      <c r="P85" s="900"/>
      <c r="Q85" s="900"/>
      <c r="R85" s="900"/>
      <c r="S85" s="900"/>
      <c r="T85" s="900"/>
      <c r="U85" s="257" t="s">
        <v>24</v>
      </c>
      <c r="V85" s="966">
        <f>U83/2</f>
        <v>400000</v>
      </c>
      <c r="W85" s="966"/>
      <c r="X85" s="966"/>
      <c r="Y85" s="130" t="s">
        <v>1</v>
      </c>
      <c r="Z85" s="74" t="s">
        <v>25</v>
      </c>
      <c r="AA85" s="131"/>
      <c r="AB85" s="239"/>
      <c r="AC85" s="239"/>
      <c r="AD85" s="240"/>
      <c r="AE85" s="1192"/>
      <c r="AF85" s="1192"/>
      <c r="AG85" s="235"/>
      <c r="AH85" s="153"/>
      <c r="AI85" s="244"/>
      <c r="AJ85" s="218"/>
      <c r="AK85" s="218"/>
      <c r="AL85" s="218"/>
      <c r="AM85" s="253"/>
    </row>
    <row r="86" spans="1:51" ht="9.75" customHeight="1" thickBot="1">
      <c r="A86" s="153"/>
      <c r="B86" s="251"/>
      <c r="C86" s="1128" t="s">
        <v>236</v>
      </c>
      <c r="D86" s="1129"/>
      <c r="E86" s="889" t="s">
        <v>2133</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166</v>
      </c>
      <c r="AB86" s="239"/>
      <c r="AC86" s="153"/>
      <c r="AD86" s="235"/>
      <c r="AE86" s="254"/>
      <c r="AF86" s="254"/>
      <c r="AG86" s="235"/>
      <c r="AH86" s="153"/>
      <c r="AI86" s="153"/>
      <c r="AJ86" s="218"/>
      <c r="AK86" s="218"/>
      <c r="AL86" s="218"/>
      <c r="AM86" s="253"/>
    </row>
    <row r="87" spans="1:51" ht="9.75" customHeight="1" thickBot="1">
      <c r="A87" s="153"/>
      <c r="B87" s="251"/>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70</v>
      </c>
      <c r="AD87" s="857"/>
      <c r="AE87" s="858"/>
      <c r="AF87" s="854" t="s">
        <v>138</v>
      </c>
      <c r="AG87" s="854" t="s">
        <v>25</v>
      </c>
      <c r="AH87" s="855" t="s">
        <v>166</v>
      </c>
      <c r="AI87" s="835" t="str">
        <f>IF('別紙様式2-2（４・５月分）'!AV7="新規ベア加算なし","",IF(U86=0,"",IF(AND(AC87&gt;=200/3,AC87&lt;=100),"○","×")))</f>
        <v>○</v>
      </c>
      <c r="AJ87" s="218"/>
      <c r="AK87" s="218"/>
      <c r="AL87" s="218"/>
      <c r="AM87" s="1186" t="s">
        <v>2371</v>
      </c>
      <c r="AN87" s="1187"/>
      <c r="AO87" s="1187"/>
      <c r="AP87" s="1187"/>
      <c r="AQ87" s="1187"/>
      <c r="AR87" s="1187"/>
      <c r="AS87" s="1187"/>
      <c r="AT87" s="1187"/>
      <c r="AU87" s="1187"/>
      <c r="AV87" s="1187"/>
      <c r="AW87" s="1187"/>
      <c r="AX87" s="1187"/>
      <c r="AY87" s="1188"/>
    </row>
    <row r="88" spans="1:51" ht="9.75" customHeight="1" thickBot="1">
      <c r="A88" s="153"/>
      <c r="B88" s="251"/>
      <c r="C88" s="1130"/>
      <c r="D88" s="963"/>
      <c r="E88" s="258"/>
      <c r="F88" s="895" t="s">
        <v>2367</v>
      </c>
      <c r="G88" s="896"/>
      <c r="H88" s="896"/>
      <c r="I88" s="896"/>
      <c r="J88" s="896"/>
      <c r="K88" s="896"/>
      <c r="L88" s="896"/>
      <c r="M88" s="896"/>
      <c r="N88" s="896"/>
      <c r="O88" s="896"/>
      <c r="P88" s="896"/>
      <c r="Q88" s="896"/>
      <c r="R88" s="896"/>
      <c r="S88" s="896"/>
      <c r="T88" s="896"/>
      <c r="U88" s="907">
        <v>35000</v>
      </c>
      <c r="V88" s="908"/>
      <c r="W88" s="908"/>
      <c r="X88" s="908"/>
      <c r="Y88" s="909"/>
      <c r="Z88" s="1207" t="s">
        <v>1</v>
      </c>
      <c r="AA88" s="958" t="s">
        <v>166</v>
      </c>
      <c r="AB88" s="853"/>
      <c r="AC88" s="859"/>
      <c r="AD88" s="860"/>
      <c r="AE88" s="861"/>
      <c r="AF88" s="854"/>
      <c r="AG88" s="854"/>
      <c r="AH88" s="855"/>
      <c r="AI88" s="836"/>
      <c r="AJ88" s="218"/>
      <c r="AK88" s="218"/>
      <c r="AL88" s="218"/>
      <c r="AM88" s="1189"/>
      <c r="AN88" s="1190"/>
      <c r="AO88" s="1190"/>
      <c r="AP88" s="1190"/>
      <c r="AQ88" s="1190"/>
      <c r="AR88" s="1190"/>
      <c r="AS88" s="1190"/>
      <c r="AT88" s="1190"/>
      <c r="AU88" s="1190"/>
      <c r="AV88" s="1190"/>
      <c r="AW88" s="1190"/>
      <c r="AX88" s="1190"/>
      <c r="AY88" s="1191"/>
    </row>
    <row r="89" spans="1:51" ht="9.75" customHeight="1" thickBot="1">
      <c r="A89" s="153"/>
      <c r="B89" s="251"/>
      <c r="C89" s="962"/>
      <c r="D89" s="963"/>
      <c r="E89" s="259"/>
      <c r="F89" s="897"/>
      <c r="G89" s="898"/>
      <c r="H89" s="898"/>
      <c r="I89" s="898"/>
      <c r="J89" s="898"/>
      <c r="K89" s="898"/>
      <c r="L89" s="898"/>
      <c r="M89" s="898"/>
      <c r="N89" s="898"/>
      <c r="O89" s="898"/>
      <c r="P89" s="898"/>
      <c r="Q89" s="898"/>
      <c r="R89" s="898"/>
      <c r="S89" s="898"/>
      <c r="T89" s="898"/>
      <c r="U89" s="904"/>
      <c r="V89" s="905"/>
      <c r="W89" s="905"/>
      <c r="X89" s="905"/>
      <c r="Y89" s="906"/>
      <c r="Z89" s="1208"/>
      <c r="AA89" s="958"/>
      <c r="AB89" s="153"/>
      <c r="AC89" s="153"/>
      <c r="AD89" s="153"/>
      <c r="AE89" s="153"/>
      <c r="AF89" s="153"/>
      <c r="AG89" s="153"/>
      <c r="AH89" s="153"/>
      <c r="AI89" s="153"/>
      <c r="AJ89" s="218"/>
      <c r="AK89" s="218"/>
      <c r="AL89" s="218"/>
    </row>
    <row r="90" spans="1:51" ht="16.5" customHeight="1">
      <c r="A90" s="153"/>
      <c r="B90" s="251"/>
      <c r="C90" s="964"/>
      <c r="D90" s="965"/>
      <c r="E90" s="260"/>
      <c r="F90" s="899"/>
      <c r="G90" s="900"/>
      <c r="H90" s="900"/>
      <c r="I90" s="900"/>
      <c r="J90" s="900"/>
      <c r="K90" s="900"/>
      <c r="L90" s="900"/>
      <c r="M90" s="900"/>
      <c r="N90" s="900"/>
      <c r="O90" s="900"/>
      <c r="P90" s="900"/>
      <c r="Q90" s="900"/>
      <c r="R90" s="900"/>
      <c r="S90" s="900"/>
      <c r="T90" s="900"/>
      <c r="U90" s="243" t="s">
        <v>24</v>
      </c>
      <c r="V90" s="874">
        <f>U88/2</f>
        <v>17500</v>
      </c>
      <c r="W90" s="874"/>
      <c r="X90" s="874"/>
      <c r="Y90" s="129" t="s">
        <v>1</v>
      </c>
      <c r="Z90" s="21" t="s">
        <v>25</v>
      </c>
      <c r="AA90" s="131"/>
      <c r="AB90" s="239"/>
      <c r="AC90" s="240"/>
      <c r="AD90" s="1192"/>
      <c r="AE90" s="1192"/>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3"/>
      <c r="AM92" s="264"/>
    </row>
    <row r="93" spans="1:51" s="163" customFormat="1" ht="13.5"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4" t="str">
        <f>IF(OR('別紙様式2-2（４・５月分）'!AR8="処遇加算Ⅰ・Ⅱあり",'別紙様式2-3（６月以降分）'!BC6="旧処遇加算Ⅰ・Ⅱ相当あり"),"該当","")</f>
        <v>該当</v>
      </c>
      <c r="AJ93" s="1145"/>
      <c r="AK93" s="1146"/>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3.5"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4" t="str">
        <f>IF(AND('別紙様式2-2（４・５月分）'!AR8="処遇加算Ⅰ・Ⅱなし",'別紙様式2-3（６月以降分）'!BC6="旧処遇加算Ⅰ・Ⅱ相当なし"),"該当","")</f>
        <v/>
      </c>
      <c r="AJ95" s="1145"/>
      <c r="AK95" s="1146"/>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9" t="s">
        <v>263</v>
      </c>
      <c r="D97" s="959"/>
      <c r="E97" s="959"/>
      <c r="F97" s="959"/>
      <c r="G97" s="959"/>
      <c r="H97" s="959"/>
      <c r="I97" s="959"/>
      <c r="J97" s="959"/>
      <c r="K97" s="959"/>
      <c r="L97" s="959"/>
      <c r="M97" s="959"/>
      <c r="N97" s="959"/>
      <c r="O97" s="959"/>
      <c r="P97" s="959"/>
      <c r="Q97" s="959"/>
      <c r="R97" s="959"/>
      <c r="S97" s="959"/>
      <c r="T97" s="959"/>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8"/>
      <c r="D98" s="919"/>
      <c r="E98" s="971" t="s">
        <v>251</v>
      </c>
      <c r="F98" s="971"/>
      <c r="G98" s="971"/>
      <c r="H98" s="971"/>
      <c r="I98" s="971"/>
      <c r="J98" s="971"/>
      <c r="K98" s="971"/>
      <c r="L98" s="971"/>
      <c r="M98" s="971"/>
      <c r="N98" s="971"/>
      <c r="O98" s="971"/>
      <c r="P98" s="971"/>
      <c r="Q98" s="971"/>
      <c r="R98" s="972"/>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1</v>
      </c>
      <c r="AN99" s="796" t="s">
        <v>2300</v>
      </c>
      <c r="AO99" s="796"/>
      <c r="AP99" s="796"/>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6" t="s">
        <v>2302</v>
      </c>
      <c r="AO100" s="796"/>
      <c r="AP100" s="796"/>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5" t="s">
        <v>2105</v>
      </c>
      <c r="D103" s="815"/>
      <c r="E103" s="815"/>
      <c r="F103" s="815"/>
      <c r="G103" s="815"/>
      <c r="H103" s="815"/>
      <c r="I103" s="815"/>
      <c r="J103" s="815"/>
      <c r="K103" s="815"/>
      <c r="L103" s="221"/>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0" t="str">
        <f>IF(T98="○","",(IF(AM100=TRUE,"○","×")))</f>
        <v/>
      </c>
      <c r="AL103" s="162"/>
      <c r="AM103" s="799" t="s">
        <v>2242</v>
      </c>
      <c r="AN103" s="840"/>
      <c r="AO103" s="840"/>
      <c r="AP103" s="840"/>
      <c r="AQ103" s="840"/>
      <c r="AR103" s="840"/>
      <c r="AS103" s="840"/>
      <c r="AT103" s="840"/>
      <c r="AU103" s="840"/>
      <c r="AV103" s="840"/>
      <c r="AW103" s="840"/>
      <c r="AX103" s="840"/>
      <c r="AY103" s="841"/>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9" t="s">
        <v>252</v>
      </c>
      <c r="D105" s="959"/>
      <c r="E105" s="959"/>
      <c r="F105" s="959"/>
      <c r="G105" s="959"/>
      <c r="H105" s="959"/>
      <c r="I105" s="959"/>
      <c r="J105" s="959"/>
      <c r="K105" s="959"/>
      <c r="L105" s="959"/>
      <c r="M105" s="959"/>
      <c r="N105" s="959"/>
      <c r="O105" s="959"/>
      <c r="P105" s="959"/>
      <c r="Q105" s="959"/>
      <c r="R105" s="959"/>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8"/>
      <c r="D106" s="919"/>
      <c r="E106" s="971" t="s">
        <v>254</v>
      </c>
      <c r="F106" s="971"/>
      <c r="G106" s="971"/>
      <c r="H106" s="971"/>
      <c r="I106" s="971"/>
      <c r="J106" s="971"/>
      <c r="K106" s="971"/>
      <c r="L106" s="971"/>
      <c r="M106" s="971"/>
      <c r="N106" s="971"/>
      <c r="O106" s="971"/>
      <c r="P106" s="971"/>
      <c r="Q106" s="971"/>
      <c r="R106" s="972"/>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11"/>
      <c r="C107" s="276"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2"/>
      <c r="AM107" s="151" t="b">
        <v>1</v>
      </c>
      <c r="AN107" s="796" t="s">
        <v>2300</v>
      </c>
      <c r="AO107" s="796"/>
      <c r="AP107" s="796"/>
      <c r="AQ107"/>
      <c r="AR107" s="151" t="b">
        <v>1</v>
      </c>
      <c r="AS107" s="796" t="s">
        <v>2303</v>
      </c>
      <c r="AT107" s="796"/>
      <c r="AU107" s="796"/>
    </row>
    <row r="108" spans="1:51" s="163" customFormat="1" ht="25.5" customHeight="1" thickBot="1">
      <c r="A108" s="162"/>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2"/>
      <c r="AM108" s="151" t="b">
        <v>1</v>
      </c>
      <c r="AN108" s="796" t="s">
        <v>2302</v>
      </c>
      <c r="AO108" s="796"/>
      <c r="AP108" s="796"/>
      <c r="AQ108" s="297"/>
      <c r="AR108" s="151" t="b">
        <v>1</v>
      </c>
      <c r="AS108" s="796" t="s">
        <v>2304</v>
      </c>
      <c r="AT108" s="796"/>
      <c r="AU108" s="796"/>
      <c r="AV108" s="297"/>
      <c r="AW108" s="297"/>
      <c r="AX108" s="297"/>
      <c r="AY108" s="297"/>
    </row>
    <row r="109" spans="1:51" s="163" customFormat="1" ht="33" customHeight="1" thickBot="1">
      <c r="A109" s="162"/>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2"/>
      <c r="AM109" s="799" t="s">
        <v>2373</v>
      </c>
      <c r="AN109" s="800"/>
      <c r="AO109" s="800"/>
      <c r="AP109" s="800"/>
      <c r="AQ109" s="800"/>
      <c r="AR109" s="800"/>
      <c r="AS109" s="800"/>
      <c r="AT109" s="800"/>
      <c r="AU109" s="800"/>
      <c r="AV109" s="800"/>
      <c r="AW109" s="800"/>
      <c r="AX109" s="800"/>
      <c r="AY109" s="801"/>
    </row>
    <row r="110" spans="1:51" s="163" customFormat="1" ht="19.5" customHeight="1" thickBot="1">
      <c r="A110" s="162"/>
      <c r="B110" s="811"/>
      <c r="C110" s="916"/>
      <c r="D110" s="941"/>
      <c r="E110" s="942"/>
      <c r="F110" s="942"/>
      <c r="G110" s="942"/>
      <c r="H110" s="956"/>
      <c r="I110" s="809" t="s">
        <v>9</v>
      </c>
      <c r="J110" s="298" t="s">
        <v>36</v>
      </c>
      <c r="K110" s="299"/>
      <c r="L110" s="299"/>
      <c r="M110" s="299"/>
      <c r="N110" s="299"/>
      <c r="O110" s="299"/>
      <c r="P110" s="299"/>
      <c r="Q110" s="299"/>
      <c r="R110" s="299"/>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2"/>
      <c r="AM111" s="799" t="s">
        <v>2374</v>
      </c>
      <c r="AN111" s="800"/>
      <c r="AO111" s="800"/>
      <c r="AP111" s="800"/>
      <c r="AQ111" s="800"/>
      <c r="AR111" s="800"/>
      <c r="AS111" s="800"/>
      <c r="AT111" s="800"/>
      <c r="AU111" s="800"/>
      <c r="AV111" s="800"/>
      <c r="AW111" s="800"/>
      <c r="AX111" s="800"/>
      <c r="AY111" s="801"/>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5" t="s">
        <v>2372</v>
      </c>
      <c r="D114" s="815"/>
      <c r="E114" s="815"/>
      <c r="F114" s="815"/>
      <c r="G114" s="815"/>
      <c r="H114" s="815"/>
      <c r="I114" s="815"/>
      <c r="J114" s="815"/>
      <c r="K114" s="815"/>
      <c r="L114" s="221"/>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0" t="str">
        <f>IF(T106="○","",(IF(AM108=TRUE,"○","×")))</f>
        <v>○</v>
      </c>
      <c r="AL114" s="162"/>
      <c r="AM114" s="799" t="s">
        <v>2241</v>
      </c>
      <c r="AN114" s="840"/>
      <c r="AO114" s="840"/>
      <c r="AP114" s="840"/>
      <c r="AQ114" s="840"/>
      <c r="AR114" s="840"/>
      <c r="AS114" s="840"/>
      <c r="AT114" s="840"/>
      <c r="AU114" s="840"/>
      <c r="AV114" s="840"/>
      <c r="AW114" s="840"/>
      <c r="AX114" s="840"/>
      <c r="AY114" s="841"/>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2"/>
      <c r="AM116" s="306" t="str">
        <f>IF(AND('別紙様式2-2（４・５月分）'!AR7="処遇加算Ⅰなし",'別紙様式2-3（６月以降分）'!AZ6="旧処遇加算Ⅰ相当なし"),"記入不要","要記入")</f>
        <v>要記入</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1</v>
      </c>
      <c r="AS117" s="796" t="s">
        <v>2303</v>
      </c>
      <c r="AT117" s="796"/>
      <c r="AU117" s="796"/>
    </row>
    <row r="118" spans="1:51" s="163" customFormat="1" ht="20.25" customHeight="1" thickBot="1">
      <c r="A118" s="162"/>
      <c r="B118" s="918"/>
      <c r="C118" s="919"/>
      <c r="D118" s="1176" t="s">
        <v>254</v>
      </c>
      <c r="E118" s="1176"/>
      <c r="F118" s="1176"/>
      <c r="G118" s="1176"/>
      <c r="H118" s="1176"/>
      <c r="I118" s="1176"/>
      <c r="J118" s="1176"/>
      <c r="K118" s="1176"/>
      <c r="L118" s="1176"/>
      <c r="M118" s="1176"/>
      <c r="N118" s="1176"/>
      <c r="O118" s="1176"/>
      <c r="P118" s="1176"/>
      <c r="Q118" s="1177"/>
      <c r="R118" s="310" t="s">
        <v>237</v>
      </c>
      <c r="S118" s="232" t="str">
        <f>IF(AM116="記入不要","",IF(AND(AM118=TRUE,OR(AR117=TRUE,AR118=TRUE,AR119=TRUE)),"○","×"))</f>
        <v>○</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1</v>
      </c>
      <c r="AN118" s="796" t="s">
        <v>2300</v>
      </c>
      <c r="AO118" s="796"/>
      <c r="AP118" s="796"/>
      <c r="AR118" s="151" t="b">
        <v>0</v>
      </c>
      <c r="AS118" s="796" t="s">
        <v>2304</v>
      </c>
      <c r="AT118" s="796"/>
      <c r="AU118" s="796"/>
    </row>
    <row r="119" spans="1:51" s="163" customFormat="1" ht="28.5" customHeight="1" thickBot="1">
      <c r="A119" s="162"/>
      <c r="B119" s="276"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2"/>
      <c r="AM119" s="151" t="b">
        <v>0</v>
      </c>
      <c r="AN119" s="796" t="s">
        <v>2302</v>
      </c>
      <c r="AO119" s="796"/>
      <c r="AP119" s="796"/>
      <c r="AR119" s="151" t="b">
        <v>0</v>
      </c>
      <c r="AS119" s="796" t="s">
        <v>2305</v>
      </c>
      <c r="AT119" s="796"/>
      <c r="AU119" s="796"/>
    </row>
    <row r="120" spans="1:51" s="163" customFormat="1" ht="25.5" customHeight="1">
      <c r="A120" s="162"/>
      <c r="B120" s="916"/>
      <c r="C120" s="939" t="s">
        <v>103</v>
      </c>
      <c r="D120" s="940"/>
      <c r="E120" s="940"/>
      <c r="F120" s="940"/>
      <c r="G120" s="312"/>
      <c r="H120" s="313"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2"/>
      <c r="AM120" s="790" t="s">
        <v>2375</v>
      </c>
      <c r="AN120" s="1209"/>
      <c r="AO120" s="1209"/>
      <c r="AP120" s="1209"/>
      <c r="AQ120" s="1209"/>
      <c r="AR120" s="1209"/>
      <c r="AS120" s="1209"/>
      <c r="AT120" s="1209"/>
      <c r="AU120" s="1209"/>
      <c r="AV120" s="1209"/>
      <c r="AW120" s="1209"/>
      <c r="AX120" s="1209"/>
      <c r="AY120" s="1210"/>
    </row>
    <row r="121" spans="1:51" s="163" customFormat="1" ht="33.75" customHeight="1">
      <c r="A121" s="162"/>
      <c r="B121" s="916"/>
      <c r="C121" s="941"/>
      <c r="D121" s="942"/>
      <c r="E121" s="942"/>
      <c r="F121" s="942"/>
      <c r="G121" s="314"/>
      <c r="H121" s="315"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2"/>
      <c r="AM121" s="1211"/>
      <c r="AN121" s="1212"/>
      <c r="AO121" s="1212"/>
      <c r="AP121" s="1212"/>
      <c r="AQ121" s="1212"/>
      <c r="AR121" s="1212"/>
      <c r="AS121" s="1212"/>
      <c r="AT121" s="1212"/>
      <c r="AU121" s="1212"/>
      <c r="AV121" s="1212"/>
      <c r="AW121" s="1212"/>
      <c r="AX121" s="1212"/>
      <c r="AY121" s="1213"/>
    </row>
    <row r="122" spans="1:51" s="163" customFormat="1" ht="37.5" customHeight="1" thickBot="1">
      <c r="A122" s="162"/>
      <c r="B122" s="917"/>
      <c r="C122" s="943"/>
      <c r="D122" s="944"/>
      <c r="E122" s="944"/>
      <c r="F122" s="944"/>
      <c r="G122" s="316"/>
      <c r="H122" s="317"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2"/>
      <c r="AM122" s="1214"/>
      <c r="AN122" s="1215"/>
      <c r="AO122" s="1215"/>
      <c r="AP122" s="1215"/>
      <c r="AQ122" s="1215"/>
      <c r="AR122" s="1215"/>
      <c r="AS122" s="1215"/>
      <c r="AT122" s="1215"/>
      <c r="AU122" s="1215"/>
      <c r="AV122" s="1215"/>
      <c r="AW122" s="1215"/>
      <c r="AX122" s="1215"/>
      <c r="AY122" s="1216"/>
    </row>
    <row r="123" spans="1:51" s="163" customFormat="1" ht="13.5" customHeight="1">
      <c r="A123" s="162"/>
      <c r="B123" s="318"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2" t="s">
        <v>2376</v>
      </c>
      <c r="C125" s="802"/>
      <c r="D125" s="802"/>
      <c r="E125" s="802"/>
      <c r="F125" s="802"/>
      <c r="G125" s="802"/>
      <c r="H125" s="802"/>
      <c r="I125" s="802"/>
      <c r="J125" s="802"/>
      <c r="K125" s="802"/>
      <c r="L125" s="221"/>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0" t="str">
        <f>IF(S118="","",IF(S118="○","",IF(AM119=TRUE,"○","×")))</f>
        <v/>
      </c>
      <c r="AL125" s="162"/>
      <c r="AM125" s="778" t="s">
        <v>2240</v>
      </c>
      <c r="AN125" s="787"/>
      <c r="AO125" s="787"/>
      <c r="AP125" s="787"/>
      <c r="AQ125" s="787"/>
      <c r="AR125" s="787"/>
      <c r="AS125" s="787"/>
      <c r="AT125" s="787"/>
      <c r="AU125" s="787"/>
      <c r="AV125" s="787"/>
      <c r="AW125" s="787"/>
      <c r="AX125" s="787"/>
      <c r="AY125" s="788"/>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70" t="s">
        <v>2107</v>
      </c>
      <c r="C129" s="971"/>
      <c r="D129" s="971"/>
      <c r="E129" s="971"/>
      <c r="F129" s="971"/>
      <c r="G129" s="971"/>
      <c r="H129" s="971"/>
      <c r="I129" s="971"/>
      <c r="J129" s="971"/>
      <c r="K129" s="971"/>
      <c r="L129" s="971"/>
      <c r="M129" s="971"/>
      <c r="N129" s="971"/>
      <c r="O129" s="971"/>
      <c r="P129" s="971"/>
      <c r="Q129" s="972"/>
      <c r="R129" s="321" t="s">
        <v>248</v>
      </c>
      <c r="S129" s="322" t="str">
        <f>'別紙様式2-2（４・５月分）'!AL11</f>
        <v>○</v>
      </c>
      <c r="T129" s="781" t="s">
        <v>2381</v>
      </c>
      <c r="U129" s="782"/>
      <c r="V129" s="782"/>
      <c r="W129" s="782"/>
      <c r="X129" s="782"/>
      <c r="Y129" s="782"/>
      <c r="Z129" s="782"/>
      <c r="AA129" s="782"/>
      <c r="AB129" s="782"/>
      <c r="AC129" s="782"/>
      <c r="AD129" s="782"/>
      <c r="AE129" s="782"/>
      <c r="AF129" s="782"/>
      <c r="AG129" s="782"/>
      <c r="AH129" s="782"/>
      <c r="AI129" s="782"/>
      <c r="AJ129" s="782"/>
      <c r="AK129" s="783"/>
      <c r="AL129" s="153"/>
      <c r="AM129" s="323" t="str">
        <f>IF(OR(S129="×",S130="×",S131="×"),"×","")</f>
        <v/>
      </c>
      <c r="AX129" s="190"/>
    </row>
    <row r="130" spans="1:52" ht="17.25" customHeight="1" thickBot="1">
      <c r="A130" s="153"/>
      <c r="B130" s="973" t="s">
        <v>2379</v>
      </c>
      <c r="C130" s="974"/>
      <c r="D130" s="974"/>
      <c r="E130" s="974"/>
      <c r="F130" s="974"/>
      <c r="G130" s="974"/>
      <c r="H130" s="974"/>
      <c r="I130" s="974"/>
      <c r="J130" s="974"/>
      <c r="K130" s="974"/>
      <c r="L130" s="974"/>
      <c r="M130" s="974"/>
      <c r="N130" s="974"/>
      <c r="O130" s="974"/>
      <c r="P130" s="974"/>
      <c r="Q130" s="975"/>
      <c r="R130" s="321" t="s">
        <v>248</v>
      </c>
      <c r="S130" s="322" t="str">
        <f>'別紙様式2-3（６月以降分）'!AR11</f>
        <v>○</v>
      </c>
      <c r="T130" s="781" t="s">
        <v>2382</v>
      </c>
      <c r="U130" s="782"/>
      <c r="V130" s="782"/>
      <c r="W130" s="782"/>
      <c r="X130" s="782"/>
      <c r="Y130" s="782"/>
      <c r="Z130" s="782"/>
      <c r="AA130" s="782"/>
      <c r="AB130" s="782"/>
      <c r="AC130" s="782"/>
      <c r="AD130" s="782"/>
      <c r="AE130" s="782"/>
      <c r="AF130" s="782"/>
      <c r="AG130" s="782"/>
      <c r="AH130" s="782"/>
      <c r="AI130" s="782"/>
      <c r="AJ130" s="782"/>
      <c r="AK130" s="783"/>
      <c r="AL130" s="153"/>
      <c r="AM130" s="324"/>
      <c r="AX130" s="190"/>
    </row>
    <row r="131" spans="1:52" ht="17.25" customHeight="1" thickBot="1">
      <c r="A131" s="153"/>
      <c r="B131" s="973" t="s">
        <v>2380</v>
      </c>
      <c r="C131" s="974"/>
      <c r="D131" s="974"/>
      <c r="E131" s="974"/>
      <c r="F131" s="974"/>
      <c r="G131" s="974"/>
      <c r="H131" s="974"/>
      <c r="I131" s="974"/>
      <c r="J131" s="974"/>
      <c r="K131" s="974"/>
      <c r="L131" s="974"/>
      <c r="M131" s="974"/>
      <c r="N131" s="974"/>
      <c r="O131" s="974"/>
      <c r="P131" s="974"/>
      <c r="Q131" s="975"/>
      <c r="R131" s="321" t="s">
        <v>248</v>
      </c>
      <c r="S131" s="322" t="str">
        <f>'別紙様式2-4（年度内の区分変更がある場合に記入）'!AR11</f>
        <v>○</v>
      </c>
      <c r="T131" s="781" t="s">
        <v>2383</v>
      </c>
      <c r="U131" s="782"/>
      <c r="V131" s="782"/>
      <c r="W131" s="782"/>
      <c r="X131" s="782"/>
      <c r="Y131" s="782"/>
      <c r="Z131" s="782"/>
      <c r="AA131" s="782"/>
      <c r="AB131" s="782"/>
      <c r="AC131" s="782"/>
      <c r="AD131" s="782"/>
      <c r="AE131" s="782"/>
      <c r="AF131" s="782"/>
      <c r="AG131" s="782"/>
      <c r="AH131" s="782"/>
      <c r="AI131" s="782"/>
      <c r="AJ131" s="782"/>
      <c r="AK131" s="783"/>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3.5"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8" t="s">
        <v>2386</v>
      </c>
      <c r="AN133" s="787"/>
      <c r="AO133" s="787"/>
      <c r="AP133" s="787"/>
      <c r="AQ133" s="787"/>
      <c r="AR133" s="787"/>
      <c r="AS133" s="787"/>
      <c r="AT133" s="787"/>
      <c r="AU133" s="787"/>
      <c r="AV133" s="787"/>
      <c r="AW133" s="787"/>
      <c r="AX133" s="787"/>
      <c r="AY133" s="788"/>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1</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4" t="s">
        <v>25</v>
      </c>
      <c r="AL138" s="162"/>
      <c r="AM138" s="151" t="b">
        <v>0</v>
      </c>
      <c r="AN138" s="799" t="s">
        <v>2377</v>
      </c>
      <c r="AO138" s="800"/>
      <c r="AP138" s="800"/>
      <c r="AQ138" s="800"/>
      <c r="AR138" s="800"/>
      <c r="AS138" s="800"/>
      <c r="AT138" s="800"/>
      <c r="AU138" s="800"/>
      <c r="AV138" s="800"/>
      <c r="AW138" s="800"/>
      <c r="AX138" s="800"/>
      <c r="AY138" s="801"/>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3"/>
      <c r="AM140" s="34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5"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3" t="s">
        <v>2109</v>
      </c>
      <c r="C142" s="1179"/>
      <c r="D142" s="1179"/>
      <c r="E142" s="1179"/>
      <c r="F142" s="1179"/>
      <c r="G142" s="1179"/>
      <c r="H142" s="1179"/>
      <c r="I142" s="1179"/>
      <c r="J142" s="1179"/>
      <c r="K142" s="1179"/>
      <c r="L142" s="1179"/>
      <c r="M142" s="1179"/>
      <c r="N142" s="1179"/>
      <c r="O142" s="1179"/>
      <c r="P142" s="1179"/>
      <c r="Q142" s="1180"/>
      <c r="R142" s="321" t="s">
        <v>248</v>
      </c>
      <c r="S142" s="348" t="str">
        <f>IF('別紙様式2-2（４・５月分）'!AM11="未入力あり","×",'別紙様式2-2（４・５月分）'!AM11)</f>
        <v>○</v>
      </c>
      <c r="T142" s="781" t="s">
        <v>2111</v>
      </c>
      <c r="U142" s="782"/>
      <c r="V142" s="782"/>
      <c r="W142" s="782"/>
      <c r="X142" s="782"/>
      <c r="Y142" s="782"/>
      <c r="Z142" s="782"/>
      <c r="AA142" s="782"/>
      <c r="AB142" s="782"/>
      <c r="AC142" s="782"/>
      <c r="AD142" s="782"/>
      <c r="AE142" s="782"/>
      <c r="AF142" s="782"/>
      <c r="AG142" s="782"/>
      <c r="AH142" s="782"/>
      <c r="AI142" s="782"/>
      <c r="AJ142" s="782"/>
      <c r="AK142" s="783"/>
      <c r="AL142" s="153"/>
      <c r="AM142" s="324"/>
    </row>
    <row r="143" spans="1:52" ht="16.5" customHeight="1" thickBot="1">
      <c r="A143" s="153"/>
      <c r="B143" s="812" t="s">
        <v>2110</v>
      </c>
      <c r="C143" s="813"/>
      <c r="D143" s="813"/>
      <c r="E143" s="813"/>
      <c r="F143" s="813"/>
      <c r="G143" s="813"/>
      <c r="H143" s="813"/>
      <c r="I143" s="813"/>
      <c r="J143" s="813"/>
      <c r="K143" s="813"/>
      <c r="L143" s="813"/>
      <c r="M143" s="813"/>
      <c r="N143" s="813"/>
      <c r="O143" s="813"/>
      <c r="P143" s="813"/>
      <c r="Q143" s="814"/>
      <c r="R143" s="321" t="s">
        <v>248</v>
      </c>
      <c r="S143" s="349" t="str">
        <f>IF('別紙様式2-3（６月以降分）'!AS11="未入力あり","×",'別紙様式2-3（６月以降分）'!AS11)</f>
        <v>○</v>
      </c>
      <c r="T143" s="784" t="s">
        <v>2112</v>
      </c>
      <c r="U143" s="785"/>
      <c r="V143" s="785"/>
      <c r="W143" s="785"/>
      <c r="X143" s="785"/>
      <c r="Y143" s="785"/>
      <c r="Z143" s="785"/>
      <c r="AA143" s="785"/>
      <c r="AB143" s="785"/>
      <c r="AC143" s="785"/>
      <c r="AD143" s="785"/>
      <c r="AE143" s="785"/>
      <c r="AF143" s="785"/>
      <c r="AG143" s="785"/>
      <c r="AH143" s="785"/>
      <c r="AI143" s="785"/>
      <c r="AJ143" s="785"/>
      <c r="AK143" s="786"/>
      <c r="AL143" s="153"/>
      <c r="AM143" s="324"/>
    </row>
    <row r="144" spans="1:52" ht="16.5" customHeight="1" thickBot="1">
      <c r="A144" s="153"/>
      <c r="B144" s="812" t="s">
        <v>2307</v>
      </c>
      <c r="C144" s="813"/>
      <c r="D144" s="813"/>
      <c r="E144" s="813"/>
      <c r="F144" s="813"/>
      <c r="G144" s="813"/>
      <c r="H144" s="813"/>
      <c r="I144" s="813"/>
      <c r="J144" s="813"/>
      <c r="K144" s="813"/>
      <c r="L144" s="813"/>
      <c r="M144" s="813"/>
      <c r="N144" s="813"/>
      <c r="O144" s="813"/>
      <c r="P144" s="813"/>
      <c r="Q144" s="814"/>
      <c r="R144" s="321" t="s">
        <v>248</v>
      </c>
      <c r="S144" s="349" t="str">
        <f>IF('別紙様式2-4（年度内の区分変更がある場合に記入）'!AS11="未入力あり","×",'別紙様式2-4（年度内の区分変更がある場合に記入）'!AS11)</f>
        <v>○</v>
      </c>
      <c r="T144" s="784" t="s">
        <v>2308</v>
      </c>
      <c r="U144" s="785"/>
      <c r="V144" s="785"/>
      <c r="W144" s="785"/>
      <c r="X144" s="785"/>
      <c r="Y144" s="785"/>
      <c r="Z144" s="785"/>
      <c r="AA144" s="785"/>
      <c r="AB144" s="785"/>
      <c r="AC144" s="785"/>
      <c r="AD144" s="785"/>
      <c r="AE144" s="785"/>
      <c r="AF144" s="785"/>
      <c r="AG144" s="785"/>
      <c r="AH144" s="785"/>
      <c r="AI144" s="785"/>
      <c r="AJ144" s="785"/>
      <c r="AK144" s="786"/>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4" t="str">
        <f>IF(AND('別紙様式2-2（４・５月分）'!AS7="特定加算なし",'別紙様式2-3（６月以降分）'!BF6="旧特定加算相当なし",'別紙様式2-4（年度内の区分変更がある場合に記入）'!AZ7="旧特定加算相当なし"),"該当","")</f>
        <v/>
      </c>
      <c r="AJ147" s="1145"/>
      <c r="AK147" s="1146"/>
      <c r="AL147" s="162"/>
    </row>
    <row r="148" spans="1:51" s="163" customFormat="1" ht="28.5" customHeight="1">
      <c r="A148" s="162"/>
      <c r="B148" s="250"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62"/>
    </row>
    <row r="151" spans="1:51" s="163" customFormat="1" ht="39" customHeight="1">
      <c r="A151" s="162"/>
      <c r="B151" s="250"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1" t="str">
        <f>IF(AI150="該当",IF(AND(COUNTIF(AM154:AM157,TRUE)&gt;=1,COUNTIF(AM158:AM161,TRUE)&gt;=1,COUNTIF(AM162:AM165,TRUE)&gt;=1,COUNTIF(AM166:AM169,TRUE)&gt;=1,COUNTIF(AM170:AM173,TRUE)&gt;=1,COUNTIF(AM174:AM177,TRUE)&gt;=1),"○","×"),IF(COUNTIF(AM154:AM177,TRUE)&gt;=1,"○","×"))</f>
        <v>○</v>
      </c>
      <c r="AL153" s="162"/>
      <c r="AM153" s="352" t="s">
        <v>2301</v>
      </c>
      <c r="AN153" s="778" t="s">
        <v>2244</v>
      </c>
      <c r="AO153" s="779"/>
      <c r="AP153" s="779"/>
      <c r="AQ153" s="779"/>
      <c r="AR153" s="779"/>
      <c r="AS153" s="779"/>
      <c r="AT153" s="779"/>
      <c r="AU153" s="779"/>
      <c r="AV153" s="779"/>
      <c r="AW153" s="779"/>
      <c r="AX153" s="779"/>
      <c r="AY153" s="780"/>
    </row>
    <row r="154" spans="1:51" s="163" customFormat="1" ht="14.25" customHeight="1" thickBot="1">
      <c r="A154" s="162"/>
      <c r="B154" s="921" t="s">
        <v>127</v>
      </c>
      <c r="C154" s="922"/>
      <c r="D154" s="922"/>
      <c r="E154" s="923"/>
      <c r="F154" s="353"/>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2"/>
      <c r="AM154" s="151" t="b">
        <v>1</v>
      </c>
    </row>
    <row r="155" spans="1:51" s="163" customFormat="1" ht="13.5" customHeight="1">
      <c r="A155" s="162"/>
      <c r="B155" s="924"/>
      <c r="C155" s="925"/>
      <c r="D155" s="925"/>
      <c r="E155" s="926"/>
      <c r="F155" s="354"/>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5"/>
      <c r="AL155" s="162"/>
      <c r="AM155" s="151" t="b">
        <v>0</v>
      </c>
      <c r="AN155" s="790" t="s">
        <v>2245</v>
      </c>
      <c r="AO155" s="791"/>
      <c r="AP155" s="791"/>
      <c r="AQ155" s="791"/>
      <c r="AR155" s="791"/>
      <c r="AS155" s="791"/>
      <c r="AT155" s="791"/>
      <c r="AU155" s="791"/>
      <c r="AV155" s="791"/>
      <c r="AW155" s="791"/>
      <c r="AX155" s="791"/>
      <c r="AY155" s="792"/>
    </row>
    <row r="156" spans="1:51" s="163" customFormat="1" ht="13.5" customHeight="1" thickBot="1">
      <c r="A156" s="162"/>
      <c r="B156" s="924"/>
      <c r="C156" s="925"/>
      <c r="D156" s="925"/>
      <c r="E156" s="926"/>
      <c r="F156" s="354"/>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5"/>
      <c r="AL156" s="162"/>
      <c r="AM156" s="151" t="b">
        <v>0</v>
      </c>
      <c r="AN156" s="793"/>
      <c r="AO156" s="794"/>
      <c r="AP156" s="794"/>
      <c r="AQ156" s="794"/>
      <c r="AR156" s="794"/>
      <c r="AS156" s="794"/>
      <c r="AT156" s="794"/>
      <c r="AU156" s="794"/>
      <c r="AV156" s="794"/>
      <c r="AW156" s="794"/>
      <c r="AX156" s="794"/>
      <c r="AY156" s="795"/>
    </row>
    <row r="157" spans="1:51" s="163" customFormat="1" ht="13.5" customHeight="1">
      <c r="A157" s="162"/>
      <c r="B157" s="927"/>
      <c r="C157" s="928"/>
      <c r="D157" s="928"/>
      <c r="E157" s="929"/>
      <c r="F157" s="356"/>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57"/>
      <c r="AL157" s="162"/>
      <c r="AM157" s="151" t="b">
        <v>0</v>
      </c>
    </row>
    <row r="158" spans="1:51" s="163" customFormat="1" ht="24.75" customHeight="1" thickBot="1">
      <c r="A158" s="162"/>
      <c r="B158" s="921" t="s">
        <v>128</v>
      </c>
      <c r="C158" s="922"/>
      <c r="D158" s="922"/>
      <c r="E158" s="923"/>
      <c r="F158" s="358"/>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59"/>
      <c r="AL158" s="162"/>
      <c r="AM158" s="151" t="b">
        <v>1</v>
      </c>
    </row>
    <row r="159" spans="1:51" s="163" customFormat="1" ht="13.5" customHeight="1">
      <c r="A159" s="162"/>
      <c r="B159" s="924"/>
      <c r="C159" s="925"/>
      <c r="D159" s="925"/>
      <c r="E159" s="926"/>
      <c r="F159" s="354"/>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0"/>
      <c r="AL159" s="162"/>
      <c r="AM159" s="151" t="b">
        <v>0</v>
      </c>
      <c r="AN159" s="790" t="s">
        <v>2245</v>
      </c>
      <c r="AO159" s="791"/>
      <c r="AP159" s="791"/>
      <c r="AQ159" s="791"/>
      <c r="AR159" s="791"/>
      <c r="AS159" s="791"/>
      <c r="AT159" s="791"/>
      <c r="AU159" s="791"/>
      <c r="AV159" s="791"/>
      <c r="AW159" s="791"/>
      <c r="AX159" s="791"/>
      <c r="AY159" s="792"/>
    </row>
    <row r="160" spans="1:51" s="163" customFormat="1" ht="13.5" customHeight="1" thickBot="1">
      <c r="A160" s="162"/>
      <c r="B160" s="924"/>
      <c r="C160" s="925"/>
      <c r="D160" s="925"/>
      <c r="E160" s="926"/>
      <c r="F160" s="354"/>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5"/>
      <c r="AL160" s="162"/>
      <c r="AM160" s="151" t="b">
        <v>0</v>
      </c>
      <c r="AN160" s="793"/>
      <c r="AO160" s="794"/>
      <c r="AP160" s="794"/>
      <c r="AQ160" s="794"/>
      <c r="AR160" s="794"/>
      <c r="AS160" s="794"/>
      <c r="AT160" s="794"/>
      <c r="AU160" s="794"/>
      <c r="AV160" s="794"/>
      <c r="AW160" s="794"/>
      <c r="AX160" s="794"/>
      <c r="AY160" s="795"/>
    </row>
    <row r="161" spans="1:51" s="163" customFormat="1" ht="13.5" customHeight="1">
      <c r="A161" s="162"/>
      <c r="B161" s="927"/>
      <c r="C161" s="928"/>
      <c r="D161" s="928"/>
      <c r="E161" s="929"/>
      <c r="F161" s="361"/>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2"/>
      <c r="AM161" s="151" t="b">
        <v>0</v>
      </c>
    </row>
    <row r="162" spans="1:51" s="163" customFormat="1" ht="13.5" customHeight="1" thickBot="1">
      <c r="A162" s="162"/>
      <c r="B162" s="921" t="s">
        <v>129</v>
      </c>
      <c r="C162" s="922"/>
      <c r="D162" s="922"/>
      <c r="E162" s="923"/>
      <c r="F162" s="362"/>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0"/>
      <c r="AL162" s="162"/>
      <c r="AM162" s="151" t="b">
        <v>0</v>
      </c>
    </row>
    <row r="163" spans="1:51" s="163" customFormat="1" ht="22.5" customHeight="1">
      <c r="A163" s="162"/>
      <c r="B163" s="924"/>
      <c r="C163" s="925"/>
      <c r="D163" s="925"/>
      <c r="E163" s="926"/>
      <c r="F163" s="354"/>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5"/>
      <c r="AL163" s="162"/>
      <c r="AM163" s="151" t="b">
        <v>0</v>
      </c>
      <c r="AN163" s="790" t="s">
        <v>2245</v>
      </c>
      <c r="AO163" s="791"/>
      <c r="AP163" s="791"/>
      <c r="AQ163" s="791"/>
      <c r="AR163" s="791"/>
      <c r="AS163" s="791"/>
      <c r="AT163" s="791"/>
      <c r="AU163" s="791"/>
      <c r="AV163" s="791"/>
      <c r="AW163" s="791"/>
      <c r="AX163" s="791"/>
      <c r="AY163" s="792"/>
    </row>
    <row r="164" spans="1:51" s="163" customFormat="1" ht="13.5" customHeight="1" thickBot="1">
      <c r="A164" s="162"/>
      <c r="B164" s="924"/>
      <c r="C164" s="925"/>
      <c r="D164" s="925"/>
      <c r="E164" s="926"/>
      <c r="F164" s="354"/>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5"/>
      <c r="AL164" s="162"/>
      <c r="AM164" s="151" t="b">
        <v>1</v>
      </c>
      <c r="AN164" s="793"/>
      <c r="AO164" s="794"/>
      <c r="AP164" s="794"/>
      <c r="AQ164" s="794"/>
      <c r="AR164" s="794"/>
      <c r="AS164" s="794"/>
      <c r="AT164" s="794"/>
      <c r="AU164" s="794"/>
      <c r="AV164" s="794"/>
      <c r="AW164" s="794"/>
      <c r="AX164" s="794"/>
      <c r="AY164" s="795"/>
    </row>
    <row r="165" spans="1:51" s="163" customFormat="1" ht="13.5" customHeight="1">
      <c r="A165" s="162"/>
      <c r="B165" s="927"/>
      <c r="C165" s="928"/>
      <c r="D165" s="928"/>
      <c r="E165" s="929"/>
      <c r="F165" s="356"/>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3"/>
      <c r="AL165" s="162"/>
      <c r="AM165" s="151" t="b">
        <v>0</v>
      </c>
    </row>
    <row r="166" spans="1:51" s="163" customFormat="1" ht="21" customHeight="1" thickBot="1">
      <c r="A166" s="162"/>
      <c r="B166" s="921" t="s">
        <v>130</v>
      </c>
      <c r="C166" s="922"/>
      <c r="D166" s="922"/>
      <c r="E166" s="923"/>
      <c r="F166" s="358"/>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0"/>
      <c r="AL166" s="162"/>
      <c r="AM166" s="151" t="b">
        <v>0</v>
      </c>
    </row>
    <row r="167" spans="1:51" s="163" customFormat="1" ht="13.5" customHeight="1">
      <c r="A167" s="162"/>
      <c r="B167" s="924"/>
      <c r="C167" s="925"/>
      <c r="D167" s="925"/>
      <c r="E167" s="926"/>
      <c r="F167" s="35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0"/>
      <c r="AL167" s="153"/>
      <c r="AM167" s="151" t="b">
        <v>1</v>
      </c>
      <c r="AN167" s="790" t="s">
        <v>2245</v>
      </c>
      <c r="AO167" s="791"/>
      <c r="AP167" s="791"/>
      <c r="AQ167" s="791"/>
      <c r="AR167" s="791"/>
      <c r="AS167" s="791"/>
      <c r="AT167" s="791"/>
      <c r="AU167" s="791"/>
      <c r="AV167" s="791"/>
      <c r="AW167" s="791"/>
      <c r="AX167" s="791"/>
      <c r="AY167" s="792"/>
    </row>
    <row r="168" spans="1:51" s="163" customFormat="1" ht="13.5" customHeight="1" thickBot="1">
      <c r="A168" s="162"/>
      <c r="B168" s="924"/>
      <c r="C168" s="925"/>
      <c r="D168" s="925"/>
      <c r="E168" s="926"/>
      <c r="F168" s="35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4"/>
      <c r="AL168" s="162"/>
      <c r="AM168" s="151" t="b">
        <v>0</v>
      </c>
      <c r="AN168" s="793"/>
      <c r="AO168" s="794"/>
      <c r="AP168" s="794"/>
      <c r="AQ168" s="794"/>
      <c r="AR168" s="794"/>
      <c r="AS168" s="794"/>
      <c r="AT168" s="794"/>
      <c r="AU168" s="794"/>
      <c r="AV168" s="794"/>
      <c r="AW168" s="794"/>
      <c r="AX168" s="794"/>
      <c r="AY168" s="795"/>
    </row>
    <row r="169" spans="1:51" s="163" customFormat="1" ht="13.5" customHeight="1">
      <c r="A169" s="162"/>
      <c r="B169" s="927"/>
      <c r="C169" s="928"/>
      <c r="D169" s="928"/>
      <c r="E169" s="929"/>
      <c r="F169" s="361"/>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2"/>
      <c r="AM169" s="151" t="b">
        <v>0</v>
      </c>
    </row>
    <row r="170" spans="1:51" s="163" customFormat="1" ht="13.5" customHeight="1" thickBot="1">
      <c r="A170" s="162"/>
      <c r="B170" s="921" t="s">
        <v>131</v>
      </c>
      <c r="C170" s="922"/>
      <c r="D170" s="922"/>
      <c r="E170" s="923"/>
      <c r="F170" s="362"/>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0"/>
      <c r="AL170" s="162"/>
      <c r="AM170" s="151" t="b">
        <v>0</v>
      </c>
    </row>
    <row r="171" spans="1:51" s="163" customFormat="1" ht="21" customHeight="1">
      <c r="A171" s="162"/>
      <c r="B171" s="924"/>
      <c r="C171" s="925"/>
      <c r="D171" s="925"/>
      <c r="E171" s="926"/>
      <c r="F171" s="35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5"/>
      <c r="AL171" s="162"/>
      <c r="AM171" s="151" t="b">
        <v>0</v>
      </c>
      <c r="AN171" s="790" t="s">
        <v>2245</v>
      </c>
      <c r="AO171" s="791"/>
      <c r="AP171" s="791"/>
      <c r="AQ171" s="791"/>
      <c r="AR171" s="791"/>
      <c r="AS171" s="791"/>
      <c r="AT171" s="791"/>
      <c r="AU171" s="791"/>
      <c r="AV171" s="791"/>
      <c r="AW171" s="791"/>
      <c r="AX171" s="791"/>
      <c r="AY171" s="792"/>
    </row>
    <row r="172" spans="1:51" s="163" customFormat="1" ht="13.5" customHeight="1" thickBot="1">
      <c r="A172" s="162"/>
      <c r="B172" s="924"/>
      <c r="C172" s="925"/>
      <c r="D172" s="925"/>
      <c r="E172" s="926"/>
      <c r="F172" s="35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5"/>
      <c r="AL172" s="162"/>
      <c r="AM172" s="151" t="b">
        <v>1</v>
      </c>
      <c r="AN172" s="793"/>
      <c r="AO172" s="794"/>
      <c r="AP172" s="794"/>
      <c r="AQ172" s="794"/>
      <c r="AR172" s="794"/>
      <c r="AS172" s="794"/>
      <c r="AT172" s="794"/>
      <c r="AU172" s="794"/>
      <c r="AV172" s="794"/>
      <c r="AW172" s="794"/>
      <c r="AX172" s="794"/>
      <c r="AY172" s="795"/>
    </row>
    <row r="173" spans="1:51" s="163" customFormat="1" ht="13.5" customHeight="1">
      <c r="A173" s="162"/>
      <c r="B173" s="927"/>
      <c r="C173" s="928"/>
      <c r="D173" s="928"/>
      <c r="E173" s="929"/>
      <c r="F173" s="361"/>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3"/>
      <c r="AL173" s="162"/>
      <c r="AM173" s="151" t="b">
        <v>0</v>
      </c>
    </row>
    <row r="174" spans="1:51" s="163" customFormat="1" ht="13.5" customHeight="1" thickBot="1">
      <c r="A174" s="162"/>
      <c r="B174" s="921" t="s">
        <v>132</v>
      </c>
      <c r="C174" s="922"/>
      <c r="D174" s="922"/>
      <c r="E174" s="923"/>
      <c r="F174" s="362"/>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5"/>
      <c r="AM174" s="151" t="b">
        <v>0</v>
      </c>
      <c r="AN174"/>
      <c r="AO174"/>
      <c r="AP174"/>
    </row>
    <row r="175" spans="1:51" ht="13.5" customHeight="1">
      <c r="A175" s="153"/>
      <c r="B175" s="924"/>
      <c r="C175" s="925"/>
      <c r="D175" s="925"/>
      <c r="E175" s="926"/>
      <c r="F175" s="35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5"/>
      <c r="AL175" s="162"/>
      <c r="AM175" s="151" t="b">
        <v>0</v>
      </c>
      <c r="AN175" s="790" t="s">
        <v>2245</v>
      </c>
      <c r="AO175" s="791"/>
      <c r="AP175" s="791"/>
      <c r="AQ175" s="791"/>
      <c r="AR175" s="791"/>
      <c r="AS175" s="791"/>
      <c r="AT175" s="791"/>
      <c r="AU175" s="791"/>
      <c r="AV175" s="791"/>
      <c r="AW175" s="791"/>
      <c r="AX175" s="791"/>
      <c r="AY175" s="792"/>
    </row>
    <row r="176" spans="1:51" ht="13.5" customHeight="1" thickBot="1">
      <c r="A176" s="153"/>
      <c r="B176" s="924"/>
      <c r="C176" s="925"/>
      <c r="D176" s="925"/>
      <c r="E176" s="926"/>
      <c r="F176" s="35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5"/>
      <c r="AL176" s="162"/>
      <c r="AM176" s="151" t="b">
        <v>0</v>
      </c>
      <c r="AN176" s="793"/>
      <c r="AO176" s="794"/>
      <c r="AP176" s="794"/>
      <c r="AQ176" s="794"/>
      <c r="AR176" s="794"/>
      <c r="AS176" s="794"/>
      <c r="AT176" s="794"/>
      <c r="AU176" s="794"/>
      <c r="AV176" s="794"/>
      <c r="AW176" s="794"/>
      <c r="AX176" s="794"/>
      <c r="AY176" s="795"/>
    </row>
    <row r="177" spans="1:55" ht="13.5" customHeight="1" thickBot="1">
      <c r="A177" s="153"/>
      <c r="B177" s="927"/>
      <c r="C177" s="928"/>
      <c r="D177" s="928"/>
      <c r="E177" s="929"/>
      <c r="F177" s="366"/>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67"/>
      <c r="AL177" s="153"/>
      <c r="AM177" s="151" t="b">
        <v>1</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v>
      </c>
      <c r="AL180" s="153"/>
    </row>
    <row r="181" spans="1:55" s="369" customFormat="1" ht="25.5" customHeight="1">
      <c r="A181" s="365"/>
      <c r="B181" s="1012" t="s">
        <v>22</v>
      </c>
      <c r="C181" s="1013"/>
      <c r="D181" s="1013"/>
      <c r="E181" s="1014" t="b">
        <v>0</v>
      </c>
      <c r="F181" s="353"/>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2"/>
      <c r="AM181" s="151" t="b">
        <v>1</v>
      </c>
      <c r="AN181" s="790" t="s">
        <v>2237</v>
      </c>
      <c r="AO181" s="791"/>
      <c r="AP181" s="791"/>
      <c r="AQ181" s="791"/>
      <c r="AR181" s="791"/>
      <c r="AS181" s="791"/>
      <c r="AT181" s="791"/>
      <c r="AU181" s="791"/>
      <c r="AV181" s="791"/>
      <c r="AW181" s="791"/>
      <c r="AX181" s="791"/>
      <c r="AY181" s="792"/>
    </row>
    <row r="182" spans="1:55" s="369" customFormat="1" ht="18.75" customHeight="1" thickBot="1">
      <c r="A182" s="365"/>
      <c r="B182" s="1015"/>
      <c r="C182" s="1016"/>
      <c r="D182" s="1016"/>
      <c r="E182" s="1017" t="b">
        <v>0</v>
      </c>
      <c r="F182" s="366"/>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3"/>
      <c r="AM182" s="151" t="b">
        <v>0</v>
      </c>
      <c r="AN182" s="793"/>
      <c r="AO182" s="794"/>
      <c r="AP182" s="794"/>
      <c r="AQ182" s="794"/>
      <c r="AR182" s="794"/>
      <c r="AS182" s="794"/>
      <c r="AT182" s="794"/>
      <c r="AU182" s="794"/>
      <c r="AV182" s="794"/>
      <c r="AW182" s="794"/>
      <c r="AX182" s="794"/>
      <c r="AY182" s="795"/>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4.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1" t="str">
        <f>IF(AND(AM187=TRUE,OR(Q20=0,AM188=TRUE),AM189=TRUE,AM190=TRUE,AM191=TRUE,AM192=TRUE),"○","×")</f>
        <v>○</v>
      </c>
      <c r="AL186" s="153"/>
      <c r="AM186" s="778" t="s">
        <v>2246</v>
      </c>
      <c r="AN186" s="779"/>
      <c r="AO186" s="779"/>
      <c r="AP186" s="779"/>
      <c r="AQ186" s="779"/>
      <c r="AR186" s="779"/>
      <c r="AS186" s="779"/>
      <c r="AT186" s="779"/>
      <c r="AU186" s="779"/>
      <c r="AV186" s="779"/>
      <c r="AW186" s="779"/>
      <c r="AX186" s="779"/>
      <c r="AY186" s="780"/>
    </row>
    <row r="187" spans="1:55" s="163" customFormat="1" ht="26.25" customHeight="1">
      <c r="A187" s="162"/>
      <c r="B187" s="353"/>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3"/>
      <c r="AM187" s="152" t="b">
        <v>1</v>
      </c>
      <c r="AN187" s="297"/>
      <c r="AO187" s="297"/>
      <c r="AP187" s="297"/>
      <c r="AQ187" s="297"/>
      <c r="AR187" s="297"/>
      <c r="AS187" s="297"/>
      <c r="AT187" s="297"/>
      <c r="AU187" s="297"/>
      <c r="AV187" s="297"/>
    </row>
    <row r="188" spans="1:55" s="163" customFormat="1" ht="35.25" customHeight="1">
      <c r="A188" s="162"/>
      <c r="B188" s="362"/>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3"/>
      <c r="AM188" s="151" t="b">
        <v>1</v>
      </c>
      <c r="AN188" s="297"/>
      <c r="AO188" s="297"/>
      <c r="AP188" s="297"/>
      <c r="AQ188" s="297"/>
      <c r="AR188" s="297"/>
      <c r="AS188" s="297"/>
      <c r="AT188" s="297"/>
      <c r="AU188" s="297"/>
      <c r="AV188" s="297"/>
    </row>
    <row r="189" spans="1:55" s="163" customFormat="1" ht="37.5" customHeight="1">
      <c r="A189" s="162"/>
      <c r="B189" s="362"/>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3"/>
      <c r="AM189" s="151" t="b">
        <v>1</v>
      </c>
      <c r="AN189" s="297"/>
      <c r="AO189" s="297"/>
      <c r="AP189" s="297"/>
      <c r="AQ189" s="297"/>
      <c r="AR189" s="297"/>
      <c r="AS189" s="297"/>
      <c r="AT189" s="297"/>
      <c r="AU189" s="297"/>
      <c r="AV189" s="297"/>
    </row>
    <row r="190" spans="1:55" s="163" customFormat="1" ht="23.25" customHeight="1">
      <c r="A190" s="162"/>
      <c r="B190" s="362"/>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3"/>
      <c r="AM190" s="151" t="b">
        <v>1</v>
      </c>
    </row>
    <row r="191" spans="1:55" s="163" customFormat="1" ht="23.25" customHeight="1">
      <c r="A191" s="162"/>
      <c r="B191" s="362"/>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3"/>
      <c r="AM191" s="151" t="b">
        <v>1</v>
      </c>
      <c r="AN191" s="376"/>
      <c r="AO191" s="376"/>
      <c r="AP191" s="376"/>
    </row>
    <row r="192" spans="1:55" s="163" customFormat="1" ht="13.5" customHeight="1" thickBot="1">
      <c r="A192" s="162"/>
      <c r="B192" s="366"/>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3"/>
      <c r="AM192" s="151" t="b">
        <v>1</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7">
        <v>6</v>
      </c>
      <c r="F200" s="968"/>
      <c r="G200" s="387" t="s">
        <v>4</v>
      </c>
      <c r="H200" s="967">
        <v>11</v>
      </c>
      <c r="I200" s="968"/>
      <c r="J200" s="387" t="s">
        <v>3</v>
      </c>
      <c r="K200" s="967">
        <v>20</v>
      </c>
      <c r="L200" s="968"/>
      <c r="M200" s="387" t="s">
        <v>2</v>
      </c>
      <c r="N200" s="375"/>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3" t="s">
        <v>51</v>
      </c>
      <c r="P201" s="1033"/>
      <c r="Q201" s="1033"/>
      <c r="R201" s="1038" t="s">
        <v>52</v>
      </c>
      <c r="S201" s="1038"/>
      <c r="T201" s="1011" t="s">
        <v>2442</v>
      </c>
      <c r="U201" s="1011"/>
      <c r="V201" s="1011"/>
      <c r="W201" s="1011"/>
      <c r="X201" s="1011"/>
      <c r="Y201" s="1185" t="s">
        <v>53</v>
      </c>
      <c r="Z201" s="1185"/>
      <c r="AA201" s="1011" t="s">
        <v>2443</v>
      </c>
      <c r="AB201" s="1011"/>
      <c r="AC201" s="1011"/>
      <c r="AD201" s="1011"/>
      <c r="AE201" s="1011"/>
      <c r="AF201" s="1011"/>
      <c r="AG201" s="1011"/>
      <c r="AH201" s="1011"/>
      <c r="AI201" s="1011"/>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3"/>
    </row>
    <row r="209" spans="1:56">
      <c r="A209" s="153"/>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06" t="str">
        <f>Y20</f>
        <v/>
      </c>
      <c r="AL209" s="153"/>
    </row>
    <row r="210" spans="1:56">
      <c r="A210" s="153"/>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06" t="str">
        <f>Y21</f>
        <v>○</v>
      </c>
      <c r="AL210" s="153"/>
    </row>
    <row r="211" spans="1:56">
      <c r="A211" s="153"/>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06" t="str">
        <f>IF(Y25="○","○",IF(AA25="○","○","×"))</f>
        <v>○</v>
      </c>
      <c r="AL211" s="153"/>
    </row>
    <row r="212" spans="1:56">
      <c r="A212" s="153"/>
      <c r="B212" s="407"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06" t="str">
        <f>AB37</f>
        <v>○</v>
      </c>
      <c r="AL212" s="153"/>
    </row>
    <row r="213" spans="1:56">
      <c r="A213" s="153"/>
      <c r="B213" s="408"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3"/>
      <c r="AM215"/>
    </row>
    <row r="216" spans="1:56" s="369" customFormat="1">
      <c r="A216" s="365"/>
      <c r="B216" s="409"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06" t="str">
        <f>AH68</f>
        <v>○</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4" t="s">
        <v>2334</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06" t="str">
        <f>Z75</f>
        <v>○</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06" t="str">
        <f>AB79</f>
        <v>○</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06" t="str">
        <f>AI82</f>
        <v>○</v>
      </c>
      <c r="AL219" s="411"/>
      <c r="AM219"/>
    </row>
    <row r="220" spans="1:56" s="369" customFormat="1" ht="25.5" customHeight="1">
      <c r="A220" s="365"/>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06" t="str">
        <f>AI87</f>
        <v>○</v>
      </c>
      <c r="AL220" s="411"/>
      <c r="AM220"/>
    </row>
    <row r="221" spans="1:56" s="369" customFormat="1" ht="48.75" customHeight="1">
      <c r="A221" s="365"/>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06" t="str">
        <f>IF(AI93="該当",IF(AND(OR(T98="○",AK103="○"),OR(T106="○",AK114="○")),"○","×"),"")</f>
        <v>○</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06" t="str">
        <f>IF(AI95="該当",IF(OR(OR(T98="○",AK103="○"),OR(T106="○",AK114="○")),"○","×"),"")</f>
        <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06" t="str">
        <f>IF(AM116="記入不要","",IF(OR(S118="○",AK125="○"),"○","×"))</f>
        <v>○</v>
      </c>
      <c r="AL223" s="153"/>
      <c r="AM223"/>
    </row>
    <row r="224" spans="1:56" s="163" customFormat="1" ht="36" customHeight="1">
      <c r="A224" s="162"/>
      <c r="B224" s="407" t="s">
        <v>2336</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06" t="str">
        <f>IF(OR(AND(S129&lt;&gt;"×",S130&lt;&gt;"×",S131&lt;&gt;"×"),AK133="○"),"○","×")</f>
        <v>○</v>
      </c>
      <c r="AL224" s="153"/>
      <c r="AM224"/>
    </row>
    <row r="225" spans="1:56" s="163" customFormat="1">
      <c r="A225" s="162"/>
      <c r="B225" s="407" t="s">
        <v>2337</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06" t="str">
        <f>IF(AND(S142="",S143=""),"",IF(AND(S142&lt;&gt;"×",S143&lt;&gt;"×"),"○","×"))</f>
        <v>○</v>
      </c>
      <c r="AL225" s="412"/>
      <c r="AM225"/>
    </row>
    <row r="226" spans="1:56" s="163" customFormat="1">
      <c r="A226" s="162"/>
      <c r="B226" s="1134" t="s">
        <v>2338</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06" t="str">
        <f>AK180</f>
        <v>○</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3"/>
    </row>
    <row r="230" spans="1:56">
      <c r="A230" s="153"/>
      <c r="B230" s="413"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06" t="str">
        <f>AK186</f>
        <v>○</v>
      </c>
      <c r="AL230" s="153"/>
    </row>
    <row r="231" spans="1:56" ht="13.5" customHeight="1">
      <c r="B231" s="414"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4"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25400</xdr:rowOff>
                  </from>
                  <to>
                    <xdr:col>2</xdr:col>
                    <xdr:colOff>101600</xdr:colOff>
                    <xdr:row>36</xdr:row>
                    <xdr:rowOff>222250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69850</xdr:rowOff>
                  </from>
                  <to>
                    <xdr:col>6</xdr:col>
                    <xdr:colOff>25400</xdr:colOff>
                    <xdr:row>43</xdr:row>
                    <xdr:rowOff>273050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184150</xdr:colOff>
                    <xdr:row>43</xdr:row>
                    <xdr:rowOff>69850</xdr:rowOff>
                  </from>
                  <to>
                    <xdr:col>10</xdr:col>
                    <xdr:colOff>31750</xdr:colOff>
                    <xdr:row>43</xdr:row>
                    <xdr:rowOff>273050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184150</xdr:colOff>
                    <xdr:row>43</xdr:row>
                    <xdr:rowOff>69850</xdr:rowOff>
                  </from>
                  <to>
                    <xdr:col>16</xdr:col>
                    <xdr:colOff>31750</xdr:colOff>
                    <xdr:row>43</xdr:row>
                    <xdr:rowOff>273050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184150</xdr:colOff>
                    <xdr:row>43</xdr:row>
                    <xdr:rowOff>69850</xdr:rowOff>
                  </from>
                  <to>
                    <xdr:col>23</xdr:col>
                    <xdr:colOff>31750</xdr:colOff>
                    <xdr:row>43</xdr:row>
                    <xdr:rowOff>273050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184150</xdr:colOff>
                    <xdr:row>43</xdr:row>
                    <xdr:rowOff>69850</xdr:rowOff>
                  </from>
                  <to>
                    <xdr:col>27</xdr:col>
                    <xdr:colOff>25400</xdr:colOff>
                    <xdr:row>43</xdr:row>
                    <xdr:rowOff>273050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222250</xdr:rowOff>
                  </from>
                  <to>
                    <xdr:col>6</xdr:col>
                    <xdr:colOff>25400</xdr:colOff>
                    <xdr:row>46</xdr:row>
                    <xdr:rowOff>25400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184150</xdr:colOff>
                    <xdr:row>44</xdr:row>
                    <xdr:rowOff>228600</xdr:rowOff>
                  </from>
                  <to>
                    <xdr:col>13</xdr:col>
                    <xdr:colOff>31750</xdr:colOff>
                    <xdr:row>46</xdr:row>
                    <xdr:rowOff>25400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184150</xdr:colOff>
                    <xdr:row>44</xdr:row>
                    <xdr:rowOff>228600</xdr:rowOff>
                  </from>
                  <to>
                    <xdr:col>20</xdr:col>
                    <xdr:colOff>31750</xdr:colOff>
                    <xdr:row>46</xdr:row>
                    <xdr:rowOff>25400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31750</xdr:rowOff>
                  </from>
                  <to>
                    <xdr:col>23</xdr:col>
                    <xdr:colOff>31750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184150</xdr:colOff>
                    <xdr:row>53</xdr:row>
                    <xdr:rowOff>31750</xdr:rowOff>
                  </from>
                  <to>
                    <xdr:col>27</xdr:col>
                    <xdr:colOff>31750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6350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82550</xdr:colOff>
                    <xdr:row>97</xdr:row>
                    <xdr:rowOff>6350</xdr:rowOff>
                  </from>
                  <to>
                    <xdr:col>3</xdr:col>
                    <xdr:colOff>107950</xdr:colOff>
                    <xdr:row>97</xdr:row>
                    <xdr:rowOff>222250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44450</xdr:rowOff>
                  </from>
                  <to>
                    <xdr:col>13</xdr:col>
                    <xdr:colOff>107950</xdr:colOff>
                    <xdr:row>102</xdr:row>
                    <xdr:rowOff>273050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82550</xdr:colOff>
                    <xdr:row>104</xdr:row>
                    <xdr:rowOff>196850</xdr:rowOff>
                  </from>
                  <to>
                    <xdr:col>3</xdr:col>
                    <xdr:colOff>107950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82550</xdr:colOff>
                    <xdr:row>113</xdr:row>
                    <xdr:rowOff>44450</xdr:rowOff>
                  </from>
                  <to>
                    <xdr:col>13</xdr:col>
                    <xdr:colOff>107950</xdr:colOff>
                    <xdr:row>113</xdr:row>
                    <xdr:rowOff>260350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107950</xdr:colOff>
                    <xdr:row>117</xdr:row>
                    <xdr:rowOff>31750</xdr:rowOff>
                  </from>
                  <to>
                    <xdr:col>2</xdr:col>
                    <xdr:colOff>76200</xdr:colOff>
                    <xdr:row>117</xdr:row>
                    <xdr:rowOff>254000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63500</xdr:rowOff>
                  </from>
                  <to>
                    <xdr:col>13</xdr:col>
                    <xdr:colOff>107950</xdr:colOff>
                    <xdr:row>124</xdr:row>
                    <xdr:rowOff>298450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222250</xdr:rowOff>
                  </from>
                  <to>
                    <xdr:col>8</xdr:col>
                    <xdr:colOff>31750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234950</xdr:rowOff>
                  </from>
                  <to>
                    <xdr:col>8</xdr:col>
                    <xdr:colOff>31750</xdr:colOff>
                    <xdr:row>110</xdr:row>
                    <xdr:rowOff>215900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6350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336550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146050</xdr:rowOff>
                  </from>
                  <to>
                    <xdr:col>7</xdr:col>
                    <xdr:colOff>0</xdr:colOff>
                    <xdr:row>121</xdr:row>
                    <xdr:rowOff>336550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196850</xdr:colOff>
                    <xdr:row>180</xdr:row>
                    <xdr:rowOff>44450</xdr:rowOff>
                  </from>
                  <to>
                    <xdr:col>6</xdr:col>
                    <xdr:colOff>6350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196850</xdr:colOff>
                    <xdr:row>181</xdr:row>
                    <xdr:rowOff>6350</xdr:rowOff>
                  </from>
                  <to>
                    <xdr:col>6</xdr:col>
                    <xdr:colOff>25400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6350</xdr:colOff>
                    <xdr:row>186</xdr:row>
                    <xdr:rowOff>44450</xdr:rowOff>
                  </from>
                  <to>
                    <xdr:col>1</xdr:col>
                    <xdr:colOff>222250</xdr:colOff>
                    <xdr:row>186</xdr:row>
                    <xdr:rowOff>260350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6350</xdr:colOff>
                    <xdr:row>187</xdr:row>
                    <xdr:rowOff>114300</xdr:rowOff>
                  </from>
                  <to>
                    <xdr:col>1</xdr:col>
                    <xdr:colOff>215900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6350</xdr:colOff>
                    <xdr:row>188</xdr:row>
                    <xdr:rowOff>107950</xdr:rowOff>
                  </from>
                  <to>
                    <xdr:col>1</xdr:col>
                    <xdr:colOff>222250</xdr:colOff>
                    <xdr:row>188</xdr:row>
                    <xdr:rowOff>336550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6350</xdr:colOff>
                    <xdr:row>189</xdr:row>
                    <xdr:rowOff>25400</xdr:rowOff>
                  </from>
                  <to>
                    <xdr:col>1</xdr:col>
                    <xdr:colOff>222250</xdr:colOff>
                    <xdr:row>189</xdr:row>
                    <xdr:rowOff>254000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6350</xdr:colOff>
                    <xdr:row>190</xdr:row>
                    <xdr:rowOff>25400</xdr:rowOff>
                  </from>
                  <to>
                    <xdr:col>1</xdr:col>
                    <xdr:colOff>222250</xdr:colOff>
                    <xdr:row>190</xdr:row>
                    <xdr:rowOff>254000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6350</xdr:colOff>
                    <xdr:row>190</xdr:row>
                    <xdr:rowOff>266700</xdr:rowOff>
                  </from>
                  <to>
                    <xdr:col>1</xdr:col>
                    <xdr:colOff>222250</xdr:colOff>
                    <xdr:row>192</xdr:row>
                    <xdr:rowOff>31750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82550</xdr:colOff>
                    <xdr:row>74</xdr:row>
                    <xdr:rowOff>31750</xdr:rowOff>
                  </from>
                  <to>
                    <xdr:col>3</xdr:col>
                    <xdr:colOff>107950</xdr:colOff>
                    <xdr:row>74</xdr:row>
                    <xdr:rowOff>254000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222250</xdr:colOff>
                    <xdr:row>133</xdr:row>
                    <xdr:rowOff>146050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222250</xdr:colOff>
                    <xdr:row>134</xdr:row>
                    <xdr:rowOff>158750</xdr:rowOff>
                  </from>
                  <to>
                    <xdr:col>2</xdr:col>
                    <xdr:colOff>177800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222250</xdr:colOff>
                    <xdr:row>136</xdr:row>
                    <xdr:rowOff>31750</xdr:rowOff>
                  </from>
                  <to>
                    <xdr:col>2</xdr:col>
                    <xdr:colOff>177800</xdr:colOff>
                    <xdr:row>136</xdr:row>
                    <xdr:rowOff>311150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222250</xdr:colOff>
                    <xdr:row>136</xdr:row>
                    <xdr:rowOff>298450</xdr:rowOff>
                  </from>
                  <to>
                    <xdr:col>2</xdr:col>
                    <xdr:colOff>177800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25400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158750</xdr:rowOff>
                  </from>
                  <to>
                    <xdr:col>6</xdr:col>
                    <xdr:colOff>0</xdr:colOff>
                    <xdr:row>155</xdr:row>
                    <xdr:rowOff>31750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31750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31750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260350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298450</xdr:rowOff>
                  </from>
                  <to>
                    <xdr:col>6</xdr:col>
                    <xdr:colOff>0</xdr:colOff>
                    <xdr:row>159</xdr:row>
                    <xdr:rowOff>31750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146050</xdr:rowOff>
                  </from>
                  <to>
                    <xdr:col>6</xdr:col>
                    <xdr:colOff>0</xdr:colOff>
                    <xdr:row>160</xdr:row>
                    <xdr:rowOff>31750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146050</xdr:rowOff>
                  </from>
                  <to>
                    <xdr:col>6</xdr:col>
                    <xdr:colOff>0</xdr:colOff>
                    <xdr:row>161</xdr:row>
                    <xdr:rowOff>31750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146050</xdr:rowOff>
                  </from>
                  <to>
                    <xdr:col>6</xdr:col>
                    <xdr:colOff>0</xdr:colOff>
                    <xdr:row>162</xdr:row>
                    <xdr:rowOff>31750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31750</xdr:rowOff>
                  </from>
                  <to>
                    <xdr:col>6</xdr:col>
                    <xdr:colOff>0</xdr:colOff>
                    <xdr:row>162</xdr:row>
                    <xdr:rowOff>254000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31750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146050</xdr:rowOff>
                  </from>
                  <to>
                    <xdr:col>6</xdr:col>
                    <xdr:colOff>0</xdr:colOff>
                    <xdr:row>165</xdr:row>
                    <xdr:rowOff>31750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31750</xdr:rowOff>
                  </from>
                  <to>
                    <xdr:col>6</xdr:col>
                    <xdr:colOff>0</xdr:colOff>
                    <xdr:row>165</xdr:row>
                    <xdr:rowOff>254000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260350</xdr:rowOff>
                  </from>
                  <to>
                    <xdr:col>6</xdr:col>
                    <xdr:colOff>0</xdr:colOff>
                    <xdr:row>167</xdr:row>
                    <xdr:rowOff>31750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146050</xdr:rowOff>
                  </from>
                  <to>
                    <xdr:col>6</xdr:col>
                    <xdr:colOff>0</xdr:colOff>
                    <xdr:row>168</xdr:row>
                    <xdr:rowOff>31750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146050</xdr:rowOff>
                  </from>
                  <to>
                    <xdr:col>6</xdr:col>
                    <xdr:colOff>0</xdr:colOff>
                    <xdr:row>169</xdr:row>
                    <xdr:rowOff>31750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146050</xdr:rowOff>
                  </from>
                  <to>
                    <xdr:col>6</xdr:col>
                    <xdr:colOff>0</xdr:colOff>
                    <xdr:row>170</xdr:row>
                    <xdr:rowOff>31750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31750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260350</xdr:rowOff>
                  </from>
                  <to>
                    <xdr:col>6</xdr:col>
                    <xdr:colOff>0</xdr:colOff>
                    <xdr:row>172</xdr:row>
                    <xdr:rowOff>31750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146050</xdr:rowOff>
                  </from>
                  <to>
                    <xdr:col>6</xdr:col>
                    <xdr:colOff>0</xdr:colOff>
                    <xdr:row>173</xdr:row>
                    <xdr:rowOff>31750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146050</xdr:rowOff>
                  </from>
                  <to>
                    <xdr:col>6</xdr:col>
                    <xdr:colOff>0</xdr:colOff>
                    <xdr:row>174</xdr:row>
                    <xdr:rowOff>31750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146050</xdr:rowOff>
                  </from>
                  <to>
                    <xdr:col>6</xdr:col>
                    <xdr:colOff>0</xdr:colOff>
                    <xdr:row>175</xdr:row>
                    <xdr:rowOff>31750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146050</xdr:rowOff>
                  </from>
                  <to>
                    <xdr:col>6</xdr:col>
                    <xdr:colOff>0</xdr:colOff>
                    <xdr:row>176</xdr:row>
                    <xdr:rowOff>31750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146050</xdr:rowOff>
                  </from>
                  <to>
                    <xdr:col>6</xdr:col>
                    <xdr:colOff>0</xdr:colOff>
                    <xdr:row>177</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53125" defaultRowHeight="16.5"/>
  <cols>
    <col min="1" max="1" width="6.08984375" customWidth="1"/>
    <col min="2" max="6" width="2.6328125" style="509" customWidth="1"/>
    <col min="7" max="7" width="16.6328125" customWidth="1"/>
    <col min="8" max="8" width="11.08984375" customWidth="1"/>
    <col min="9" max="9" width="9.36328125" customWidth="1"/>
    <col min="10" max="10" width="15.90625" customWidth="1"/>
    <col min="11" max="11" width="15.36328125" customWidth="1"/>
    <col min="12" max="12" width="11.90625" customWidth="1"/>
    <col min="13" max="13" width="7.6328125" customWidth="1"/>
    <col min="14" max="14" width="20.36328125" customWidth="1"/>
    <col min="15" max="15" width="15.36328125" style="593" customWidth="1"/>
    <col min="16" max="16" width="7" style="594" customWidth="1"/>
    <col min="17" max="17" width="14.90625" style="593" customWidth="1"/>
    <col min="18" max="18" width="7.1796875" style="594" customWidth="1"/>
    <col min="19" max="19" width="4.08984375" customWidth="1"/>
    <col min="20" max="20" width="3.6328125" customWidth="1"/>
    <col min="21" max="21" width="3.08984375" customWidth="1"/>
    <col min="22" max="22" width="3.6328125" customWidth="1"/>
    <col min="23" max="23" width="8.1796875" customWidth="1"/>
    <col min="24" max="24" width="3.6328125" customWidth="1"/>
    <col min="25" max="25" width="3.08984375" customWidth="1"/>
    <col min="26" max="26" width="3.6328125" customWidth="1"/>
    <col min="27" max="27" width="3.08984375" customWidth="1"/>
    <col min="28" max="28" width="2.453125" customWidth="1"/>
    <col min="29" max="29" width="3.453125" customWidth="1"/>
    <col min="30" max="30" width="5.453125" customWidth="1"/>
    <col min="31" max="32" width="16.90625" style="592" customWidth="1"/>
    <col min="33" max="33" width="14.08984375" style="592" customWidth="1"/>
    <col min="34" max="34" width="9.36328125" customWidth="1"/>
    <col min="35" max="35" width="13.08984375" customWidth="1"/>
    <col min="36" max="36" width="11.6328125" customWidth="1"/>
    <col min="37" max="37" width="13.36328125" customWidth="1"/>
    <col min="38" max="38" width="14.6328125" customWidth="1"/>
    <col min="39" max="39" width="25.453125" style="265" customWidth="1"/>
    <col min="40" max="40" width="77.81640625" style="265" customWidth="1"/>
    <col min="41" max="41" width="9.1796875" style="265" hidden="1" customWidth="1"/>
    <col min="42" max="42" width="14.08984375" style="483" hidden="1" customWidth="1"/>
    <col min="43" max="43" width="25.08984375" style="420" hidden="1" customWidth="1"/>
    <col min="44" max="44" width="30.36328125" style="420" hidden="1" customWidth="1"/>
    <col min="45" max="48" width="6.6328125" style="420" hidden="1" customWidth="1"/>
    <col min="49" max="49" width="9.36328125" style="420" hidden="1" customWidth="1"/>
    <col min="50" max="50" width="6.6328125" style="420" hidden="1" customWidth="1"/>
    <col min="51" max="51" width="16.36328125" hidden="1" customWidth="1"/>
    <col min="52" max="54" width="0"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11" t="s">
        <v>54</v>
      </c>
      <c r="AL1" s="1312"/>
      <c r="AM1" s="481" t="str">
        <f>IF(基本情報入力シート!C33="","",基本情報入力シート!C33)</f>
        <v>○○市</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71" t="s">
        <v>2349</v>
      </c>
      <c r="B5" s="1272"/>
      <c r="C5" s="1272"/>
      <c r="D5" s="1272"/>
      <c r="E5" s="1272"/>
      <c r="F5" s="1272"/>
      <c r="G5" s="1272"/>
      <c r="H5" s="1272"/>
      <c r="I5" s="1272"/>
      <c r="J5" s="1273"/>
      <c r="K5" s="493">
        <f>IFERROR(SUMIF(N:N, "処遇改善加算", AE:AE),"")</f>
        <v>9665217</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71" t="s">
        <v>2350</v>
      </c>
      <c r="B6" s="1272"/>
      <c r="C6" s="1272"/>
      <c r="D6" s="1272"/>
      <c r="E6" s="1272"/>
      <c r="F6" s="1272"/>
      <c r="G6" s="1272"/>
      <c r="H6" s="1272"/>
      <c r="I6" s="1272"/>
      <c r="J6" s="1273"/>
      <c r="K6" s="127">
        <f>IFERROR(SUMIF(N:N, "特定加算", AE:AE),"")</f>
        <v>1635779</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4" t="s">
        <v>2351</v>
      </c>
      <c r="B7" s="1272"/>
      <c r="C7" s="1272"/>
      <c r="D7" s="1272"/>
      <c r="E7" s="1272"/>
      <c r="F7" s="1272"/>
      <c r="G7" s="1272"/>
      <c r="H7" s="1272"/>
      <c r="I7" s="1272"/>
      <c r="J7" s="1273"/>
      <c r="K7" s="500">
        <f>IFERROR(SUMIF(N:N, "ベースアップ等加算", AE:AE),"")</f>
        <v>1229134</v>
      </c>
      <c r="L7" s="494" t="s">
        <v>1</v>
      </c>
      <c r="M7" s="488"/>
      <c r="N7" s="501"/>
      <c r="O7" s="502"/>
      <c r="P7" s="503"/>
      <c r="Q7" s="502"/>
      <c r="R7" s="503"/>
      <c r="S7" s="504"/>
      <c r="T7" s="504"/>
      <c r="U7" s="504"/>
      <c r="V7" s="504"/>
      <c r="W7" s="504"/>
      <c r="X7" s="504"/>
      <c r="Y7" s="504"/>
      <c r="Z7" s="504"/>
      <c r="AA7" s="504"/>
      <c r="AB7" s="504"/>
      <c r="AC7" s="153"/>
      <c r="AD7" s="153"/>
      <c r="AE7" s="480"/>
      <c r="AF7" s="480"/>
      <c r="AG7" s="1308" t="s">
        <v>2101</v>
      </c>
      <c r="AH7" s="1309"/>
      <c r="AI7" s="1309"/>
      <c r="AJ7" s="1309"/>
      <c r="AK7" s="1310"/>
      <c r="AL7" s="505">
        <f>SUMIF(N:N,"特定加算",AL:AL)</f>
        <v>5</v>
      </c>
      <c r="AM7" s="263"/>
      <c r="AQ7" s="506" t="s">
        <v>2192</v>
      </c>
      <c r="AR7" s="507"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08"/>
      <c r="C8" s="1225" t="s">
        <v>2345</v>
      </c>
      <c r="D8" s="1225"/>
      <c r="E8" s="1225"/>
      <c r="F8" s="1225"/>
      <c r="G8" s="1225"/>
      <c r="H8" s="1225"/>
      <c r="I8" s="1225"/>
      <c r="J8" s="1226"/>
      <c r="K8" s="500">
        <f>IFERROR(SUMIF(N:N, "ベースアップ等加算",AG:AG),"")</f>
        <v>1127902</v>
      </c>
      <c r="L8" s="494" t="s">
        <v>1</v>
      </c>
      <c r="M8" s="488"/>
      <c r="N8" s="504"/>
      <c r="O8" s="502"/>
      <c r="P8" s="503"/>
      <c r="Q8" s="502"/>
      <c r="R8" s="503"/>
      <c r="S8" s="504"/>
      <c r="T8" s="504"/>
      <c r="U8" s="504"/>
      <c r="V8" s="504"/>
      <c r="W8" s="504"/>
      <c r="X8" s="504"/>
      <c r="Y8" s="504"/>
      <c r="Z8" s="504"/>
      <c r="AA8" s="504"/>
      <c r="AB8" s="504"/>
      <c r="AC8" s="153"/>
      <c r="AD8" s="153"/>
      <c r="AE8" s="480"/>
      <c r="AF8" s="480"/>
      <c r="AG8" s="1308" t="s">
        <v>2329</v>
      </c>
      <c r="AH8" s="1309"/>
      <c r="AI8" s="1309"/>
      <c r="AJ8" s="1309"/>
      <c r="AK8" s="1310"/>
      <c r="AL8" s="505">
        <f>SUM(AW:AW)</f>
        <v>5</v>
      </c>
      <c r="AM8" s="263"/>
      <c r="AQ8" s="506" t="s">
        <v>2193</v>
      </c>
      <c r="AR8" s="507"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2344</v>
      </c>
      <c r="B9" s="1275"/>
      <c r="C9" s="1275"/>
      <c r="D9" s="1275"/>
      <c r="E9" s="1275"/>
      <c r="F9" s="1275"/>
      <c r="G9" s="1275"/>
      <c r="H9" s="1275"/>
      <c r="I9" s="1275"/>
      <c r="J9" s="1275"/>
      <c r="K9" s="500">
        <f>SUM(AF:AF)</f>
        <v>8127440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7" t="s">
        <v>2357</v>
      </c>
      <c r="B10" s="1287"/>
      <c r="C10" s="1287"/>
      <c r="D10" s="1287"/>
      <c r="E10" s="1287"/>
      <c r="F10" s="1287"/>
      <c r="G10" s="1287"/>
      <c r="H10" s="1287"/>
      <c r="I10" s="1287"/>
      <c r="J10" s="1287"/>
      <c r="K10" s="1287"/>
      <c r="L10" s="1287"/>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8"/>
      <c r="B11" s="1288"/>
      <c r="C11" s="1288"/>
      <c r="D11" s="1288"/>
      <c r="E11" s="1288"/>
      <c r="F11" s="1288"/>
      <c r="G11" s="1288"/>
      <c r="H11" s="1288"/>
      <c r="I11" s="1288"/>
      <c r="J11" s="1288"/>
      <c r="K11" s="1288"/>
      <c r="L11" s="1288"/>
      <c r="M11" s="155"/>
      <c r="N11" s="155"/>
      <c r="O11" s="478"/>
      <c r="P11" s="479"/>
      <c r="Q11" s="478"/>
      <c r="R11" s="479"/>
      <c r="S11" s="155"/>
      <c r="T11" s="155"/>
      <c r="U11" s="155"/>
      <c r="V11" s="155"/>
      <c r="W11" s="155"/>
      <c r="X11" s="155"/>
      <c r="Y11" s="155"/>
      <c r="Z11" s="155"/>
      <c r="AA11" s="155"/>
      <c r="AB11" s="155"/>
      <c r="AC11" s="155"/>
      <c r="AD11" s="155"/>
      <c r="AE11" s="518"/>
      <c r="AF11" s="518"/>
      <c r="AG11" s="1326" t="str">
        <f>IFERROR(IF(COUNTIF(AS:AS,"未入力")=0,"○","未入力あり"),"")</f>
        <v>○</v>
      </c>
      <c r="AH11" s="1327"/>
      <c r="AI11" s="519" t="str">
        <f>IFERROR(IF(COUNTIF(AT:AT,"未入力")=0,"○","未入力あり"),"")</f>
        <v>○</v>
      </c>
      <c r="AJ11" s="519" t="str">
        <f>IFERROR(IF(COUNTIF(AU:AU,"未入力")=0,"○","未入力あり"),"")</f>
        <v>○</v>
      </c>
      <c r="AK11" s="519" t="str">
        <f>IFERROR(IF(COUNTIF(AV:AV,"未入力")=0,"○","未入力あり"),"")</f>
        <v>○</v>
      </c>
      <c r="AL11" s="520" t="str">
        <f>IF(AS7="特定加算なし","",(IF(AL7&gt;=AL8,"○","×")))</f>
        <v>○</v>
      </c>
      <c r="AM11" s="521" t="str">
        <f>IF(AS8="特定加算Ⅰなし","",IF(COUNTIF(AX:AX,"未入力")=0,"○","未入力あり"))</f>
        <v>○</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2348</v>
      </c>
      <c r="AG12" s="1319" t="s">
        <v>2188</v>
      </c>
      <c r="AH12" s="1320"/>
      <c r="AI12" s="1324" t="s">
        <v>240</v>
      </c>
      <c r="AJ12" s="1325"/>
      <c r="AK12" s="523" t="s">
        <v>234</v>
      </c>
      <c r="AL12" s="523" t="s">
        <v>238</v>
      </c>
      <c r="AM12" s="524" t="s">
        <v>239</v>
      </c>
      <c r="AN12" s="1227" t="s">
        <v>2314</v>
      </c>
      <c r="AY12" s="1229" t="s">
        <v>2346</v>
      </c>
    </row>
    <row r="13" spans="1:213" ht="127.5" customHeight="1" thickBot="1">
      <c r="A13" s="1255"/>
      <c r="B13" s="1282"/>
      <c r="C13" s="1283"/>
      <c r="D13" s="1283"/>
      <c r="E13" s="1283"/>
      <c r="F13" s="1284"/>
      <c r="G13" s="1286"/>
      <c r="H13" s="525" t="s">
        <v>2387</v>
      </c>
      <c r="I13" s="525" t="s">
        <v>2317</v>
      </c>
      <c r="J13" s="1307"/>
      <c r="K13" s="1300"/>
      <c r="L13" s="1302"/>
      <c r="M13" s="1304"/>
      <c r="N13" s="1298"/>
      <c r="O13" s="526" t="s">
        <v>2323</v>
      </c>
      <c r="P13" s="527" t="s">
        <v>2102</v>
      </c>
      <c r="Q13" s="526" t="s">
        <v>2205</v>
      </c>
      <c r="R13" s="527" t="s">
        <v>177</v>
      </c>
      <c r="S13" s="1321" t="s">
        <v>2322</v>
      </c>
      <c r="T13" s="1322"/>
      <c r="U13" s="1322"/>
      <c r="V13" s="1322"/>
      <c r="W13" s="1322"/>
      <c r="X13" s="1322"/>
      <c r="Y13" s="1322"/>
      <c r="Z13" s="1322"/>
      <c r="AA13" s="1322"/>
      <c r="AB13" s="1322"/>
      <c r="AC13" s="1322"/>
      <c r="AD13" s="1323"/>
      <c r="AE13" s="528" t="s">
        <v>2281</v>
      </c>
      <c r="AF13" s="1317"/>
      <c r="AG13" s="529" t="s">
        <v>2189</v>
      </c>
      <c r="AH13" s="530" t="s">
        <v>2190</v>
      </c>
      <c r="AI13" s="531" t="s">
        <v>2319</v>
      </c>
      <c r="AJ13" s="530" t="s">
        <v>2320</v>
      </c>
      <c r="AK13" s="532" t="s">
        <v>233</v>
      </c>
      <c r="AL13" s="532" t="s">
        <v>2330</v>
      </c>
      <c r="AM13" s="533" t="s">
        <v>2324</v>
      </c>
      <c r="AN13" s="1228"/>
      <c r="AO13" s="534"/>
      <c r="AP13" s="535" t="s">
        <v>2196</v>
      </c>
      <c r="AQ13" s="535" t="s">
        <v>2170</v>
      </c>
      <c r="AR13" s="535" t="s">
        <v>2191</v>
      </c>
      <c r="AS13" s="535" t="s">
        <v>2184</v>
      </c>
      <c r="AT13" s="536" t="s">
        <v>2171</v>
      </c>
      <c r="AU13" s="537" t="s">
        <v>2172</v>
      </c>
      <c r="AV13" s="535" t="s">
        <v>2173</v>
      </c>
      <c r="AW13" s="538" t="s">
        <v>2174</v>
      </c>
      <c r="AX13" s="535" t="s">
        <v>2175</v>
      </c>
      <c r="AY13" s="1230"/>
    </row>
    <row r="14" spans="1:213" ht="32.15"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39" t="s">
        <v>183</v>
      </c>
      <c r="O14" s="144" t="s">
        <v>186</v>
      </c>
      <c r="P14" s="540">
        <f>IFERROR(VLOOKUP(K14,【参考】数式用!$A$5:$J$27,MATCH(O14,【参考】数式用!$B$4:$J$4,0)+1,0),"")</f>
        <v>0.1</v>
      </c>
      <c r="Q14" s="144" t="s">
        <v>185</v>
      </c>
      <c r="R14" s="540">
        <f>IFERROR(VLOOKUP(K14,【参考】数式用!$A$5:$J$27,MATCH(Q14,【参考】数式用!$B$4:$J$4,0)+1,0),"")</f>
        <v>0.13700000000000001</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f>IFERROR(ROUNDDOWN(ROUND(L14*R14,0)*M14,0)*AC14,"")</f>
        <v>577866</v>
      </c>
      <c r="AF14" s="546">
        <f>IFERROR(ROUNDDOWN(ROUND(L14*(R14-P14),0)*M14,0)*AC14,"")</f>
        <v>156066</v>
      </c>
      <c r="AG14" s="547"/>
      <c r="AH14" s="439"/>
      <c r="AI14" s="440" t="s">
        <v>2419</v>
      </c>
      <c r="AJ14" s="441"/>
      <c r="AK14" s="442" t="s">
        <v>2169</v>
      </c>
      <c r="AL14" s="443"/>
      <c r="AM14" s="444"/>
      <c r="AN14" s="548" t="str">
        <f>IF(AP14="","",IF(OR(R14&lt;P14,R15&lt;P15,R16&lt;P16),"！加算の要件上は問題ありませんが、令和６年３月と比較して４・５月に加算率が下がる計画になっています。",""))</f>
        <v/>
      </c>
      <c r="AP14" s="549" t="str">
        <f>IF(K14&lt;&gt;"","P列・R列に色付け","")</f>
        <v>P列・R列に色付け</v>
      </c>
      <c r="AQ14" s="550" t="str">
        <f>IFERROR(VLOOKUP(K14,【参考】数式用!$AJ$2:$AK$24,2,FALSE),"")</f>
        <v>訪問介護</v>
      </c>
      <c r="AR14" s="551" t="str">
        <f>Q14&amp;Q15&amp;Q16</f>
        <v>処遇加算Ⅰ特定加算Ⅰベア加算</v>
      </c>
      <c r="AS14" s="550" t="str">
        <f>IF(AG16&lt;&gt;0,IF(AH16="○","入力済","未入力"),"")</f>
        <v/>
      </c>
      <c r="AT14" s="551" t="str">
        <f>IF(OR(Q14="処遇加算Ⅰ",Q14="処遇加算Ⅱ"),IF(OR(AI14="○",AI14="令和６年度中に満たす"),"入力済","未入力"),"")</f>
        <v>入力済</v>
      </c>
      <c r="AU14" s="552" t="str">
        <f>IF(Q14="処遇加算Ⅲ",IF(AJ14="○","入力済","未入力"),"")</f>
        <v/>
      </c>
      <c r="AV14" s="550" t="str">
        <f>IF(Q14="処遇加算Ⅰ",IF(OR(AK14="○",AK14="令和６年度中に満たす"),"入力済","未入力"),"")</f>
        <v>入力済</v>
      </c>
      <c r="AW14" s="55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5" t="str">
        <f>IF(Q15="特定加算Ⅰ",IF(AM15="","未入力","入力済"),"")</f>
        <v>入力済</v>
      </c>
      <c r="AY14" s="535" t="str">
        <f>G14</f>
        <v>東京都</v>
      </c>
    </row>
    <row r="15" spans="1:213" ht="32.15" customHeight="1">
      <c r="A15" s="1277"/>
      <c r="B15" s="1269"/>
      <c r="C15" s="1258"/>
      <c r="D15" s="1258"/>
      <c r="E15" s="1258"/>
      <c r="F15" s="1259"/>
      <c r="G15" s="1263"/>
      <c r="H15" s="1263"/>
      <c r="I15" s="1263"/>
      <c r="J15" s="1263"/>
      <c r="K15" s="1266"/>
      <c r="L15" s="1244"/>
      <c r="M15" s="1247"/>
      <c r="N15" s="553" t="s">
        <v>170</v>
      </c>
      <c r="O15" s="145" t="s">
        <v>21</v>
      </c>
      <c r="P15" s="554">
        <f>IFERROR(VLOOKUP(K14,【参考】数式用!$A$5:$J$27,MATCH(O15,【参考】数式用!$B$4:$J$4,0)+1,0),"")</f>
        <v>4.2000000000000003E-2</v>
      </c>
      <c r="Q15" s="145" t="s">
        <v>20</v>
      </c>
      <c r="R15" s="554">
        <f>IFERROR(VLOOKUP(K14,【参考】数式用!$A$5:$J$27,MATCH(Q15,【参考】数式用!$B$4:$J$4,0)+1,0),"")</f>
        <v>6.3E-2</v>
      </c>
      <c r="S15" s="165" t="s">
        <v>19</v>
      </c>
      <c r="T15" s="555">
        <v>6</v>
      </c>
      <c r="U15" s="166" t="s">
        <v>10</v>
      </c>
      <c r="V15" s="102">
        <v>4</v>
      </c>
      <c r="W15" s="166" t="s">
        <v>45</v>
      </c>
      <c r="X15" s="555">
        <v>6</v>
      </c>
      <c r="Y15" s="166" t="s">
        <v>10</v>
      </c>
      <c r="Z15" s="102">
        <v>5</v>
      </c>
      <c r="AA15" s="166" t="s">
        <v>13</v>
      </c>
      <c r="AB15" s="556" t="s">
        <v>24</v>
      </c>
      <c r="AC15" s="557">
        <f t="shared" si="0"/>
        <v>2</v>
      </c>
      <c r="AD15" s="166" t="s">
        <v>38</v>
      </c>
      <c r="AE15" s="558">
        <f>IFERROR(ROUNDDOWN(ROUND(L14*R15,0)*M14,0)*AC15,"")</f>
        <v>265734</v>
      </c>
      <c r="AF15" s="559">
        <f>IFERROR(ROUNDDOWN(ROUND(L14*(R15-P15),0)*M14,0)*AC15,"")</f>
        <v>88578</v>
      </c>
      <c r="AG15" s="560"/>
      <c r="AH15" s="445"/>
      <c r="AI15" s="446"/>
      <c r="AJ15" s="447"/>
      <c r="AK15" s="448"/>
      <c r="AL15" s="449">
        <v>1</v>
      </c>
      <c r="AM15" s="450" t="s">
        <v>2266</v>
      </c>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P列・R列に色付け</v>
      </c>
      <c r="AY15" s="535" t="str">
        <f>G14</f>
        <v>東京都</v>
      </c>
    </row>
    <row r="16" spans="1:213" ht="32.15" customHeight="1" thickBot="1">
      <c r="A16" s="1278"/>
      <c r="B16" s="1270"/>
      <c r="C16" s="1260"/>
      <c r="D16" s="1260"/>
      <c r="E16" s="1260"/>
      <c r="F16" s="1261"/>
      <c r="G16" s="1264"/>
      <c r="H16" s="1264"/>
      <c r="I16" s="1264"/>
      <c r="J16" s="1264"/>
      <c r="K16" s="1267"/>
      <c r="L16" s="1245"/>
      <c r="M16" s="1248"/>
      <c r="N16" s="563" t="s">
        <v>140</v>
      </c>
      <c r="O16" s="146" t="s">
        <v>184</v>
      </c>
      <c r="P16" s="564">
        <f>IFERROR(VLOOKUP(K14,【参考】数式用!$A$5:$J$27,MATCH(O16,【参考】数式用!$B$4:$J$4,0)+1,0),"")</f>
        <v>2.4E-2</v>
      </c>
      <c r="Q16" s="146" t="s">
        <v>184</v>
      </c>
      <c r="R16" s="564">
        <f>IFERROR(VLOOKUP(K14,【参考】数式用!$A$5:$J$27,MATCH(Q16,【参考】数式用!$B$4:$J$4,0)+1,0),"")</f>
        <v>2.4E-2</v>
      </c>
      <c r="S16" s="565" t="s">
        <v>19</v>
      </c>
      <c r="T16" s="566">
        <v>6</v>
      </c>
      <c r="U16" s="567" t="s">
        <v>10</v>
      </c>
      <c r="V16" s="103">
        <v>4</v>
      </c>
      <c r="W16" s="567" t="s">
        <v>45</v>
      </c>
      <c r="X16" s="566">
        <v>6</v>
      </c>
      <c r="Y16" s="567" t="s">
        <v>10</v>
      </c>
      <c r="Z16" s="103">
        <v>5</v>
      </c>
      <c r="AA16" s="567" t="s">
        <v>13</v>
      </c>
      <c r="AB16" s="568" t="s">
        <v>24</v>
      </c>
      <c r="AC16" s="569">
        <f t="shared" si="0"/>
        <v>2</v>
      </c>
      <c r="AD16" s="567" t="s">
        <v>38</v>
      </c>
      <c r="AE16" s="570">
        <f>IFERROR(ROUNDDOWN(ROUND(L14*R16,0)*M14,0)*AC16,"")</f>
        <v>101232</v>
      </c>
      <c r="AF16" s="571">
        <f>IFERROR(ROUNDDOWN(ROUND(L14*(R16-P16),0)*M14,0)*AC16,"")</f>
        <v>0</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P列・R列に色付け</v>
      </c>
      <c r="AQ16" s="575"/>
      <c r="AR16" s="575"/>
      <c r="AX16" s="576"/>
      <c r="AY16" s="535" t="str">
        <f>G14</f>
        <v>東京都</v>
      </c>
    </row>
    <row r="17" spans="1:51" ht="32.15" customHeight="1">
      <c r="A17" s="1222">
        <v>2</v>
      </c>
      <c r="B17" s="1256">
        <f>IF(基本情報入力シート!C55="","",基本情報入力シート!C55)</f>
        <v>1334567890</v>
      </c>
      <c r="C17" s="1256"/>
      <c r="D17" s="1256"/>
      <c r="E17" s="1256"/>
      <c r="F17" s="1257"/>
      <c r="G17" s="1262" t="str">
        <f>IF(基本情報入力シート!M55="","",基本情報入力シート!M55)</f>
        <v>千代田区・中央区・港区</v>
      </c>
      <c r="H17" s="1262" t="str">
        <f>IF(基本情報入力シート!R55="","",基本情報入力シート!R55)</f>
        <v>東京都</v>
      </c>
      <c r="I17" s="1262" t="str">
        <f>IF(基本情報入力シート!W55="","",基本情報入力シート!W55)</f>
        <v>千代田区</v>
      </c>
      <c r="J17" s="1262" t="str">
        <f>IF(基本情報入力シート!X55="","",基本情報入力シート!X55)</f>
        <v>○○ケアセンター</v>
      </c>
      <c r="K17" s="1265" t="str">
        <f>IF(基本情報入力シート!Y55="","",基本情報入力シート!Y55)</f>
        <v>訪問型サービス（総合事業）</v>
      </c>
      <c r="L17" s="1243">
        <f>IF(基本情報入力シート!AB55="","",基本情報入力シート!AB55)</f>
        <v>83000</v>
      </c>
      <c r="M17" s="1246">
        <f>IF(基本情報入力シート!AC55="","",基本情報入力シート!AC55)</f>
        <v>11.4</v>
      </c>
      <c r="N17" s="577" t="s">
        <v>183</v>
      </c>
      <c r="O17" s="144" t="s">
        <v>186</v>
      </c>
      <c r="P17" s="554">
        <f>IFERROR(VLOOKUP(K17,【参考】数式用!$A$5:$J$27,MATCH(O17,【参考】数式用!$B$4:$J$4,0)+1,0),"")</f>
        <v>0.1</v>
      </c>
      <c r="Q17" s="147" t="s">
        <v>186</v>
      </c>
      <c r="R17" s="554">
        <f>IFERROR(VLOOKUP(K17,【参考】数式用!$A$5:$J$27,MATCH(Q17,【参考】数式用!$B$4:$J$4,0)+1,0),"")</f>
        <v>0.1</v>
      </c>
      <c r="S17" s="578" t="s">
        <v>19</v>
      </c>
      <c r="T17" s="579">
        <v>6</v>
      </c>
      <c r="U17" s="200" t="s">
        <v>10</v>
      </c>
      <c r="V17" s="115">
        <v>4</v>
      </c>
      <c r="W17" s="200" t="s">
        <v>45</v>
      </c>
      <c r="X17" s="579">
        <v>6</v>
      </c>
      <c r="Y17" s="200" t="s">
        <v>10</v>
      </c>
      <c r="Z17" s="115">
        <v>5</v>
      </c>
      <c r="AA17" s="200" t="s">
        <v>13</v>
      </c>
      <c r="AB17" s="580" t="s">
        <v>24</v>
      </c>
      <c r="AC17" s="581">
        <f t="shared" si="0"/>
        <v>2</v>
      </c>
      <c r="AD17" s="200" t="s">
        <v>38</v>
      </c>
      <c r="AE17" s="558">
        <f>IFERROR(ROUNDDOWN(ROUND(L17*R17,0)*M17,0)*AC17,"")</f>
        <v>189240</v>
      </c>
      <c r="AF17" s="546">
        <f>IFERROR(ROUNDDOWN(ROUND(L17*(R17-P17),0)*M17,0)*AC17,"")</f>
        <v>0</v>
      </c>
      <c r="AG17" s="547"/>
      <c r="AH17" s="457"/>
      <c r="AI17" s="458" t="s">
        <v>2419</v>
      </c>
      <c r="AJ17" s="459"/>
      <c r="AK17" s="460" t="s">
        <v>2169</v>
      </c>
      <c r="AL17" s="443"/>
      <c r="AM17" s="461"/>
      <c r="AN17" s="548" t="str">
        <f t="shared" ref="AN17" si="1">IF(AP17="","",IF(R17&lt;P17,"！加算の要件上は問題ありませんが、令和６年３月と比較して４・５月に加算率が下がる計画になっています。",""))</f>
        <v/>
      </c>
      <c r="AP17" s="549" t="str">
        <f>IF(K17&lt;&gt;"","P列・R列に色付け","")</f>
        <v>P列・R列に色付け</v>
      </c>
      <c r="AQ17" s="550" t="str">
        <f>IFERROR(VLOOKUP(K17,【参考】数式用!$AJ$2:$AK$24,2,FALSE),"")</f>
        <v>訪問型サービス_総合事業</v>
      </c>
      <c r="AR17" s="552" t="str">
        <f>Q17&amp;Q18&amp;Q19</f>
        <v>処遇加算Ⅱ特定加算Ⅰベア加算</v>
      </c>
      <c r="AS17" s="550" t="str">
        <f t="shared" ref="AS17" si="2">IF(AG19&lt;&gt;0,IF(AH19="○","入力済","未入力"),"")</f>
        <v>入力済</v>
      </c>
      <c r="AT17" s="551" t="str">
        <f>IF(OR(Q17="処遇加算Ⅰ",Q17="処遇加算Ⅱ"),IF(OR(AI17="○",AI17="令和６年度中に満たす"),"入力済","未入力"),"")</f>
        <v>入力済</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入力済</v>
      </c>
      <c r="AY17" s="535" t="str">
        <f>G17</f>
        <v>千代田区・中央区・港区</v>
      </c>
    </row>
    <row r="18" spans="1:51" ht="32.15" customHeight="1">
      <c r="A18" s="1223"/>
      <c r="B18" s="1258"/>
      <c r="C18" s="1258"/>
      <c r="D18" s="1258"/>
      <c r="E18" s="1258"/>
      <c r="F18" s="1259"/>
      <c r="G18" s="1263"/>
      <c r="H18" s="1263"/>
      <c r="I18" s="1263"/>
      <c r="J18" s="1263"/>
      <c r="K18" s="1266"/>
      <c r="L18" s="1244"/>
      <c r="M18" s="1247"/>
      <c r="N18" s="553" t="s">
        <v>170</v>
      </c>
      <c r="O18" s="145" t="s">
        <v>21</v>
      </c>
      <c r="P18" s="554">
        <f>IFERROR(VLOOKUP(K17,【参考】数式用!$A$5:$J$27,MATCH(O18,【参考】数式用!$B$4:$J$4,0)+1,0),"")</f>
        <v>4.2000000000000003E-2</v>
      </c>
      <c r="Q18" s="145" t="s">
        <v>20</v>
      </c>
      <c r="R18" s="554">
        <f>IFERROR(VLOOKUP(K17,【参考】数式用!$A$5:$J$27,MATCH(Q18,【参考】数式用!$B$4:$J$4,0)+1,0),"")</f>
        <v>6.3E-2</v>
      </c>
      <c r="S18" s="165" t="s">
        <v>19</v>
      </c>
      <c r="T18" s="555">
        <v>6</v>
      </c>
      <c r="U18" s="166" t="s">
        <v>10</v>
      </c>
      <c r="V18" s="102">
        <v>4</v>
      </c>
      <c r="W18" s="166" t="s">
        <v>45</v>
      </c>
      <c r="X18" s="555">
        <v>6</v>
      </c>
      <c r="Y18" s="166" t="s">
        <v>10</v>
      </c>
      <c r="Z18" s="102">
        <v>5</v>
      </c>
      <c r="AA18" s="166" t="s">
        <v>13</v>
      </c>
      <c r="AB18" s="556" t="s">
        <v>24</v>
      </c>
      <c r="AC18" s="557">
        <f t="shared" si="0"/>
        <v>2</v>
      </c>
      <c r="AD18" s="166" t="s">
        <v>38</v>
      </c>
      <c r="AE18" s="558">
        <f>IFERROR(ROUNDDOWN(ROUND(L17*R18,0)*M17,0)*AC18,"")</f>
        <v>119220</v>
      </c>
      <c r="AF18" s="559">
        <f>IFERROR(ROUNDDOWN(ROUND(L17*(R18-P18),0)*M17,0)*AC18,"")</f>
        <v>39740</v>
      </c>
      <c r="AG18" s="560"/>
      <c r="AH18" s="445"/>
      <c r="AI18" s="446"/>
      <c r="AJ18" s="447"/>
      <c r="AK18" s="448"/>
      <c r="AL18" s="449"/>
      <c r="AM18" s="450" t="s">
        <v>2275</v>
      </c>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P列・R列に色付け</v>
      </c>
      <c r="AY18" s="535" t="str">
        <f>G17</f>
        <v>千代田区・中央区・港区</v>
      </c>
    </row>
    <row r="19" spans="1:51" ht="32.15" customHeight="1" thickBot="1">
      <c r="A19" s="1224"/>
      <c r="B19" s="1260"/>
      <c r="C19" s="1260"/>
      <c r="D19" s="1260"/>
      <c r="E19" s="1260"/>
      <c r="F19" s="1261"/>
      <c r="G19" s="1264"/>
      <c r="H19" s="1264"/>
      <c r="I19" s="1264"/>
      <c r="J19" s="1264"/>
      <c r="K19" s="1267"/>
      <c r="L19" s="1245"/>
      <c r="M19" s="1248"/>
      <c r="N19" s="563" t="s">
        <v>140</v>
      </c>
      <c r="O19" s="146" t="s">
        <v>213</v>
      </c>
      <c r="P19" s="564">
        <f>IFERROR(VLOOKUP(K17,【参考】数式用!$A$5:$J$27,MATCH(O19,【参考】数式用!$B$4:$J$4,0)+1,0),"")</f>
        <v>0</v>
      </c>
      <c r="Q19" s="146" t="s">
        <v>184</v>
      </c>
      <c r="R19" s="564">
        <f>IFERROR(VLOOKUP(K17,【参考】数式用!$A$5:$J$27,MATCH(Q19,【参考】数式用!$B$4:$J$4,0)+1,0),"")</f>
        <v>2.4E-2</v>
      </c>
      <c r="S19" s="565" t="s">
        <v>19</v>
      </c>
      <c r="T19" s="566">
        <v>6</v>
      </c>
      <c r="U19" s="567" t="s">
        <v>10</v>
      </c>
      <c r="V19" s="103">
        <v>4</v>
      </c>
      <c r="W19" s="567" t="s">
        <v>45</v>
      </c>
      <c r="X19" s="566">
        <v>6</v>
      </c>
      <c r="Y19" s="567" t="s">
        <v>10</v>
      </c>
      <c r="Z19" s="103">
        <v>5</v>
      </c>
      <c r="AA19" s="567" t="s">
        <v>13</v>
      </c>
      <c r="AB19" s="568" t="s">
        <v>24</v>
      </c>
      <c r="AC19" s="569">
        <f t="shared" si="0"/>
        <v>2</v>
      </c>
      <c r="AD19" s="567" t="s">
        <v>38</v>
      </c>
      <c r="AE19" s="582">
        <f>IFERROR(ROUNDDOWN(ROUND(L17*R19,0)*M17,0)*AC19,"")</f>
        <v>45416</v>
      </c>
      <c r="AF19" s="571">
        <f>IFERROR(ROUNDDOWN(ROUND(L17*(R19-P19),0)*M17,0)*AC19,"")</f>
        <v>45416</v>
      </c>
      <c r="AG19" s="572">
        <f>IF(AND(O19="ベア加算なし",Q19="ベア加算"),AE19,0)</f>
        <v>45416</v>
      </c>
      <c r="AH19" s="451" t="s">
        <v>2419</v>
      </c>
      <c r="AI19" s="452"/>
      <c r="AJ19" s="453"/>
      <c r="AK19" s="454"/>
      <c r="AL19" s="455"/>
      <c r="AM19" s="456"/>
      <c r="AN19" s="57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4" t="str">
        <f>IF(K17&lt;&gt;"","P列・R列に色付け","")</f>
        <v>P列・R列に色付け</v>
      </c>
      <c r="AQ19" s="575"/>
      <c r="AR19" s="575"/>
      <c r="AX19" s="576"/>
      <c r="AY19" s="535" t="str">
        <f>G17</f>
        <v>千代田区・中央区・港区</v>
      </c>
    </row>
    <row r="20" spans="1:51" ht="32.15"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千代田区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39" t="s">
        <v>183</v>
      </c>
      <c r="O20" s="144" t="s">
        <v>186</v>
      </c>
      <c r="P20" s="540">
        <f>IFERROR(VLOOKUP(K20,【参考】数式用!$A$5:$J$27,MATCH(O20,【参考】数式用!$B$4:$J$4,0)+1,0),"")</f>
        <v>4.2999999999999997E-2</v>
      </c>
      <c r="Q20" s="144" t="s">
        <v>186</v>
      </c>
      <c r="R20" s="540">
        <f>IFERROR(VLOOKUP(K20,【参考】数式用!$A$5:$J$27,MATCH(Q20,【参考】数式用!$B$4:$J$4,0)+1,0),"")</f>
        <v>4.2999999999999997E-2</v>
      </c>
      <c r="S20" s="541" t="s">
        <v>19</v>
      </c>
      <c r="T20" s="542">
        <v>6</v>
      </c>
      <c r="U20" s="194" t="s">
        <v>10</v>
      </c>
      <c r="V20" s="67">
        <v>4</v>
      </c>
      <c r="W20" s="194" t="s">
        <v>45</v>
      </c>
      <c r="X20" s="542">
        <v>6</v>
      </c>
      <c r="Y20" s="194" t="s">
        <v>10</v>
      </c>
      <c r="Z20" s="67">
        <v>5</v>
      </c>
      <c r="AA20" s="194" t="s">
        <v>13</v>
      </c>
      <c r="AB20" s="543" t="s">
        <v>24</v>
      </c>
      <c r="AC20" s="544">
        <f t="shared" ref="AC20:AC34" si="4">IF(V20&gt;=1,(X20*12+Z20)-(T20*12+V20)+1,"")</f>
        <v>2</v>
      </c>
      <c r="AD20" s="194" t="s">
        <v>38</v>
      </c>
      <c r="AE20" s="545">
        <f>IFERROR(ROUNDDOWN(ROUND(L20*R20,0)*M20,0)*AC20,"")</f>
        <v>285906</v>
      </c>
      <c r="AF20" s="546">
        <f>IFERROR(ROUNDDOWN(ROUND(L20*(R20-P20),0)*M20,0)*AC20,"")</f>
        <v>0</v>
      </c>
      <c r="AG20" s="547"/>
      <c r="AH20" s="457"/>
      <c r="AI20" s="458" t="s">
        <v>2419</v>
      </c>
      <c r="AJ20" s="462"/>
      <c r="AK20" s="463"/>
      <c r="AL20" s="443"/>
      <c r="AM20" s="444"/>
      <c r="AN20" s="548" t="str">
        <f t="shared" ref="AN20" si="5">IF(AP20="","",IF(R20&lt;P20,"！加算の要件上は問題ありませんが、令和６年３月と比較して４・５月に加算率が下がる計画になっています。",""))</f>
        <v/>
      </c>
      <c r="AP20" s="549" t="str">
        <f>IF(K20&lt;&gt;"","P列・R列に色付け","")</f>
        <v>P列・R列に色付け</v>
      </c>
      <c r="AQ20" s="550" t="str">
        <f>IFERROR(VLOOKUP(K20,【参考】数式用!$AJ$2:$AK$24,2,FALSE),"")</f>
        <v>通所介護</v>
      </c>
      <c r="AR20" s="552" t="str">
        <f>Q20&amp;Q21&amp;Q22</f>
        <v>処遇加算Ⅱ特定加算Ⅱベア加算なし</v>
      </c>
      <c r="AS20" s="550" t="str">
        <f t="shared" ref="AS20" si="6">IF(AG22&lt;&gt;0,IF(AH22="○","入力済","未入力"),"")</f>
        <v/>
      </c>
      <c r="AT20" s="551" t="str">
        <f>IF(OR(Q20="処遇加算Ⅰ",Q20="処遇加算Ⅱ"),IF(OR(AI20="○",AI20="令和６年度中に満たす"),"入力済","未入力"),"")</f>
        <v>入力済</v>
      </c>
      <c r="AU20" s="552" t="str">
        <f>IF(Q20="処遇加算Ⅲ",IF(AJ20="○","入力済","未入力"),"")</f>
        <v/>
      </c>
      <c r="AV20" s="550" t="str">
        <f>IF(Q20="処遇加算Ⅰ",IF(OR(AK20="○",AK20="令和６年度中に満たす"),"入力済","未入力"),"")</f>
        <v/>
      </c>
      <c r="AW20" s="550">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5" t="str">
        <f>IF(Q21="特定加算Ⅰ",IF(AM21="","未入力","入力済"),"")</f>
        <v/>
      </c>
      <c r="AY20" s="535" t="str">
        <f>G20</f>
        <v>東京都</v>
      </c>
    </row>
    <row r="21" spans="1:51" ht="32.15" customHeight="1">
      <c r="A21" s="1223"/>
      <c r="B21" s="1220"/>
      <c r="C21" s="1220"/>
      <c r="D21" s="1220"/>
      <c r="E21" s="1220"/>
      <c r="F21" s="1220"/>
      <c r="G21" s="1232"/>
      <c r="H21" s="1232"/>
      <c r="I21" s="1232"/>
      <c r="J21" s="1232"/>
      <c r="K21" s="1232"/>
      <c r="L21" s="1235"/>
      <c r="M21" s="1290"/>
      <c r="N21" s="553" t="s">
        <v>170</v>
      </c>
      <c r="O21" s="145" t="s">
        <v>21</v>
      </c>
      <c r="P21" s="554">
        <f>IFERROR(VLOOKUP(K20,【参考】数式用!$A$5:$J$27,MATCH(O21,【参考】数式用!$B$4:$J$4,0)+1,0),"")</f>
        <v>0.01</v>
      </c>
      <c r="Q21" s="145" t="s">
        <v>21</v>
      </c>
      <c r="R21" s="554">
        <f>IFERROR(VLOOKUP(K20,【参考】数式用!$A$5:$J$27,MATCH(Q21,【参考】数式用!$B$4:$J$4,0)+1,0),"")</f>
        <v>0.01</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f>IFERROR(ROUNDDOWN(ROUND(L20*R21,0)*M20,0)*AC21,"")</f>
        <v>66490</v>
      </c>
      <c r="AF21" s="559">
        <f>IFERROR(ROUNDDOWN(ROUND(L20*(R21-P21),0)*M20,0)*AC21,"")</f>
        <v>0</v>
      </c>
      <c r="AG21" s="560"/>
      <c r="AH21" s="445"/>
      <c r="AI21" s="446"/>
      <c r="AJ21" s="447"/>
      <c r="AK21" s="448"/>
      <c r="AL21" s="449">
        <v>1</v>
      </c>
      <c r="AM21" s="450"/>
      <c r="AN21" s="561"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P列・R列に色付け</v>
      </c>
      <c r="AY21" s="535" t="str">
        <f>G20</f>
        <v>東京都</v>
      </c>
    </row>
    <row r="22" spans="1:51" ht="32.15" customHeight="1" thickBot="1">
      <c r="A22" s="1237"/>
      <c r="B22" s="1240"/>
      <c r="C22" s="1240"/>
      <c r="D22" s="1240"/>
      <c r="E22" s="1240"/>
      <c r="F22" s="1240"/>
      <c r="G22" s="1242"/>
      <c r="H22" s="1242"/>
      <c r="I22" s="1242"/>
      <c r="J22" s="1242"/>
      <c r="K22" s="1242"/>
      <c r="L22" s="1295"/>
      <c r="M22" s="1296"/>
      <c r="N22" s="563" t="s">
        <v>140</v>
      </c>
      <c r="O22" s="146" t="s">
        <v>213</v>
      </c>
      <c r="P22" s="564">
        <f>IFERROR(VLOOKUP(K20,【参考】数式用!$A$5:$J$27,MATCH(O22,【参考】数式用!$B$4:$J$4,0)+1,0),"")</f>
        <v>0</v>
      </c>
      <c r="Q22" s="146" t="s">
        <v>213</v>
      </c>
      <c r="R22" s="564">
        <f>IFERROR(VLOOKUP(K20,【参考】数式用!$A$5:$J$27,MATCH(Q22,【参考】数式用!$B$4:$J$4,0)+1,0),"")</f>
        <v>0</v>
      </c>
      <c r="S22" s="565" t="s">
        <v>19</v>
      </c>
      <c r="T22" s="566">
        <v>6</v>
      </c>
      <c r="U22" s="567" t="s">
        <v>10</v>
      </c>
      <c r="V22" s="103">
        <v>4</v>
      </c>
      <c r="W22" s="567" t="s">
        <v>45</v>
      </c>
      <c r="X22" s="566">
        <v>6</v>
      </c>
      <c r="Y22" s="567" t="s">
        <v>10</v>
      </c>
      <c r="Z22" s="103">
        <v>5</v>
      </c>
      <c r="AA22" s="567" t="s">
        <v>13</v>
      </c>
      <c r="AB22" s="568" t="s">
        <v>24</v>
      </c>
      <c r="AC22" s="569">
        <f t="shared" si="4"/>
        <v>2</v>
      </c>
      <c r="AD22" s="567" t="s">
        <v>38</v>
      </c>
      <c r="AE22" s="582">
        <f>IFERROR(ROUNDDOWN(ROUND(L20*R22,0)*M20,0)*AC22,"")</f>
        <v>0</v>
      </c>
      <c r="AF22" s="571">
        <f>IFERROR(ROUNDDOWN(ROUND(L20*(R22-P22),0)*M20,0)*AC22,"")</f>
        <v>0</v>
      </c>
      <c r="AG22" s="572">
        <f t="shared" ref="AG22" si="8">IF(AND(O22="ベア加算なし",Q22="ベア加算"),AE22,0)</f>
        <v>0</v>
      </c>
      <c r="AH22" s="464"/>
      <c r="AI22" s="452"/>
      <c r="AJ22" s="453"/>
      <c r="AK22" s="454"/>
      <c r="AL22" s="455"/>
      <c r="AM22" s="456"/>
      <c r="AN22" s="573"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P列・R列に色付け</v>
      </c>
      <c r="AQ22" s="575"/>
      <c r="AR22" s="575"/>
      <c r="AX22" s="576"/>
      <c r="AY22" s="535" t="str">
        <f>G20</f>
        <v>東京都</v>
      </c>
    </row>
    <row r="23" spans="1:51" ht="32.15" customHeight="1">
      <c r="A23" s="1222">
        <v>4</v>
      </c>
      <c r="B23" s="1219">
        <f>IF(基本情報入力シート!C57="","",基本情報入力シート!C57)</f>
        <v>1334567892</v>
      </c>
      <c r="C23" s="1219"/>
      <c r="D23" s="1219"/>
      <c r="E23" s="1219"/>
      <c r="F23" s="1219"/>
      <c r="G23" s="1231" t="str">
        <f>IF(基本情報入力シート!M57="","",基本情報入力シート!M57)</f>
        <v>中央区</v>
      </c>
      <c r="H23" s="1231" t="str">
        <f>IF(基本情報入力シート!R57="","",基本情報入力シート!R57)</f>
        <v>東京都</v>
      </c>
      <c r="I23" s="1231" t="str">
        <f>IF(基本情報入力シート!W57="","",基本情報入力シート!W57)</f>
        <v>中央区</v>
      </c>
      <c r="J23" s="1231" t="str">
        <f>IF(基本情報入力シート!X57="","",基本情報入力シート!X57)</f>
        <v>○○の家</v>
      </c>
      <c r="K23" s="1231" t="str">
        <f>IF(基本情報入力シート!Y57="","",基本情報入力シート!Y57)</f>
        <v>（介護予防）小規模多機能型居宅介護</v>
      </c>
      <c r="L23" s="1234">
        <f>IF(基本情報入力シート!AB57="","",基本情報入力シート!AB57)</f>
        <v>345000</v>
      </c>
      <c r="M23" s="1289">
        <f>IF(基本情報入力シート!AC57="","",基本情報入力シート!AC57)</f>
        <v>11.1</v>
      </c>
      <c r="N23" s="539" t="s">
        <v>183</v>
      </c>
      <c r="O23" s="144" t="s">
        <v>187</v>
      </c>
      <c r="P23" s="540">
        <f>IFERROR(VLOOKUP(K23,【参考】数式用!$A$5:$J$27,MATCH(O23,【参考】数式用!$B$4:$J$4,0)+1,0),"")</f>
        <v>4.1000000000000002E-2</v>
      </c>
      <c r="Q23" s="144" t="s">
        <v>186</v>
      </c>
      <c r="R23" s="540">
        <f>IFERROR(VLOOKUP(K23,【参考】数式用!$A$5:$J$27,MATCH(Q23,【参考】数式用!$B$4:$J$4,0)+1,0),"")</f>
        <v>7.3999999999999996E-2</v>
      </c>
      <c r="S23" s="541" t="s">
        <v>19</v>
      </c>
      <c r="T23" s="542">
        <v>6</v>
      </c>
      <c r="U23" s="194" t="s">
        <v>10</v>
      </c>
      <c r="V23" s="67">
        <v>4</v>
      </c>
      <c r="W23" s="194" t="s">
        <v>45</v>
      </c>
      <c r="X23" s="542">
        <v>6</v>
      </c>
      <c r="Y23" s="194" t="s">
        <v>10</v>
      </c>
      <c r="Z23" s="67">
        <v>5</v>
      </c>
      <c r="AA23" s="194" t="s">
        <v>13</v>
      </c>
      <c r="AB23" s="543" t="s">
        <v>24</v>
      </c>
      <c r="AC23" s="544">
        <f t="shared" si="4"/>
        <v>2</v>
      </c>
      <c r="AD23" s="194" t="s">
        <v>38</v>
      </c>
      <c r="AE23" s="545">
        <f>IFERROR(ROUNDDOWN(ROUND(L23*R23,0)*M23,0)*AC23,"")</f>
        <v>566766</v>
      </c>
      <c r="AF23" s="546">
        <f>IFERROR(ROUNDDOWN(ROUND(L23*(R23-P23),0)*M23,0)*AC23,"")</f>
        <v>252746</v>
      </c>
      <c r="AG23" s="547"/>
      <c r="AH23" s="457"/>
      <c r="AI23" s="458" t="s">
        <v>2419</v>
      </c>
      <c r="AJ23" s="462"/>
      <c r="AK23" s="463"/>
      <c r="AL23" s="443"/>
      <c r="AM23" s="444"/>
      <c r="AN23" s="548" t="str">
        <f t="shared" ref="AN23" si="10">IF(AP23="","",IF(R23&lt;P23,"！加算の要件上は問題ありませんが、令和６年３月と比較して４・５月に加算率が下がる計画になっています。",""))</f>
        <v/>
      </c>
      <c r="AP23" s="549" t="str">
        <f>IF(K23&lt;&gt;"","P列・R列に色付け","")</f>
        <v>P列・R列に色付け</v>
      </c>
      <c r="AQ23" s="550" t="str">
        <f>IFERROR(VLOOKUP(K23,【参考】数式用!$AJ$2:$AK$24,2,FALSE),"")</f>
        <v>介護予防_小規模多機能型居宅介護</v>
      </c>
      <c r="AR23" s="552" t="str">
        <f>Q23&amp;Q24&amp;Q25</f>
        <v>処遇加算Ⅱ特定加算Ⅱベア加算なし</v>
      </c>
      <c r="AS23" s="550" t="str">
        <f t="shared" ref="AS23" si="11">IF(AG25&lt;&gt;0,IF(AH25="○","入力済","未入力"),"")</f>
        <v/>
      </c>
      <c r="AT23" s="551" t="str">
        <f>IF(OR(Q23="処遇加算Ⅰ",Q23="処遇加算Ⅱ"),IF(OR(AI23="○",AI23="令和６年度中に満たす"),"入力済","未入力"),"")</f>
        <v>入力済</v>
      </c>
      <c r="AU23" s="552" t="str">
        <f>IF(Q23="処遇加算Ⅲ",IF(AJ23="○","入力済","未入力"),"")</f>
        <v/>
      </c>
      <c r="AV23" s="550" t="str">
        <f>IF(Q23="処遇加算Ⅰ",IF(OR(AK23="○",AK23="令和６年度中に満たす"),"入力済","未入力"),"")</f>
        <v/>
      </c>
      <c r="AW23" s="550">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5" t="str">
        <f>IF(Q24="特定加算Ⅰ",IF(AM24="","未入力","入力済"),"")</f>
        <v/>
      </c>
      <c r="AY23" s="535" t="str">
        <f>G23</f>
        <v>中央区</v>
      </c>
    </row>
    <row r="24" spans="1:51" ht="32.15" customHeight="1">
      <c r="A24" s="1223"/>
      <c r="B24" s="1220"/>
      <c r="C24" s="1220"/>
      <c r="D24" s="1220"/>
      <c r="E24" s="1220"/>
      <c r="F24" s="1220"/>
      <c r="G24" s="1232"/>
      <c r="H24" s="1232"/>
      <c r="I24" s="1232"/>
      <c r="J24" s="1232"/>
      <c r="K24" s="1232"/>
      <c r="L24" s="1235"/>
      <c r="M24" s="1290"/>
      <c r="N24" s="553" t="s">
        <v>170</v>
      </c>
      <c r="O24" s="145" t="s">
        <v>212</v>
      </c>
      <c r="P24" s="554">
        <f>IFERROR(VLOOKUP(K23,【参考】数式用!$A$5:$J$27,MATCH(O24,【参考】数式用!$B$4:$J$4,0)+1,0),"")</f>
        <v>0</v>
      </c>
      <c r="Q24" s="145" t="s">
        <v>21</v>
      </c>
      <c r="R24" s="554">
        <f>IFERROR(VLOOKUP(K23,【参考】数式用!$A$5:$J$27,MATCH(Q24,【参考】数式用!$B$4:$J$4,0)+1,0),"")</f>
        <v>1.2E-2</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f>IFERROR(ROUNDDOWN(ROUND(L23*R24,0)*M23,0)*AC24,"")</f>
        <v>91908</v>
      </c>
      <c r="AF24" s="559">
        <f>IFERROR(ROUNDDOWN(ROUND(L23*(R24-P24),0)*M23,0)*AC24,"")</f>
        <v>91908</v>
      </c>
      <c r="AG24" s="560"/>
      <c r="AH24" s="445"/>
      <c r="AI24" s="446"/>
      <c r="AJ24" s="447"/>
      <c r="AK24" s="448"/>
      <c r="AL24" s="449">
        <v>1</v>
      </c>
      <c r="AM24" s="450"/>
      <c r="AN24" s="561"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P列・R列に色付け</v>
      </c>
      <c r="AY24" s="535" t="str">
        <f>G23</f>
        <v>中央区</v>
      </c>
    </row>
    <row r="25" spans="1:51" ht="32.15" customHeight="1" thickBot="1">
      <c r="A25" s="1224"/>
      <c r="B25" s="1221"/>
      <c r="C25" s="1221"/>
      <c r="D25" s="1221"/>
      <c r="E25" s="1221"/>
      <c r="F25" s="1221"/>
      <c r="G25" s="1233"/>
      <c r="H25" s="1233"/>
      <c r="I25" s="1233"/>
      <c r="J25" s="1233"/>
      <c r="K25" s="1233"/>
      <c r="L25" s="1236"/>
      <c r="M25" s="1291"/>
      <c r="N25" s="563" t="s">
        <v>140</v>
      </c>
      <c r="O25" s="146" t="s">
        <v>213</v>
      </c>
      <c r="P25" s="564">
        <f>IFERROR(VLOOKUP(K23,【参考】数式用!$A$5:$J$27,MATCH(O25,【参考】数式用!$B$4:$J$4,0)+1,0),"")</f>
        <v>0</v>
      </c>
      <c r="Q25" s="146" t="s">
        <v>213</v>
      </c>
      <c r="R25" s="564">
        <f>IFERROR(VLOOKUP(K23,【参考】数式用!$A$5:$J$27,MATCH(Q25,【参考】数式用!$B$4:$J$4,0)+1,0),"")</f>
        <v>0</v>
      </c>
      <c r="S25" s="565" t="s">
        <v>19</v>
      </c>
      <c r="T25" s="566">
        <v>6</v>
      </c>
      <c r="U25" s="567" t="s">
        <v>10</v>
      </c>
      <c r="V25" s="103">
        <v>4</v>
      </c>
      <c r="W25" s="567" t="s">
        <v>45</v>
      </c>
      <c r="X25" s="566">
        <v>6</v>
      </c>
      <c r="Y25" s="567" t="s">
        <v>10</v>
      </c>
      <c r="Z25" s="103">
        <v>5</v>
      </c>
      <c r="AA25" s="567" t="s">
        <v>13</v>
      </c>
      <c r="AB25" s="568" t="s">
        <v>24</v>
      </c>
      <c r="AC25" s="569">
        <f t="shared" si="4"/>
        <v>2</v>
      </c>
      <c r="AD25" s="567" t="s">
        <v>38</v>
      </c>
      <c r="AE25" s="582">
        <f>IFERROR(ROUNDDOWN(ROUND(L23*R25,0)*M23,0)*AC25,"")</f>
        <v>0</v>
      </c>
      <c r="AF25" s="571">
        <f>IFERROR(ROUNDDOWN(ROUND(L23*(R25-P25),0)*M23,0)*AC25,"")</f>
        <v>0</v>
      </c>
      <c r="AG25" s="572">
        <f t="shared" ref="AG25" si="13">IF(AND(O25="ベア加算なし",Q25="ベア加算"),AE25,0)</f>
        <v>0</v>
      </c>
      <c r="AH25" s="464"/>
      <c r="AI25" s="452"/>
      <c r="AJ25" s="453"/>
      <c r="AK25" s="454"/>
      <c r="AL25" s="455"/>
      <c r="AM25" s="456"/>
      <c r="AN25" s="573"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P列・R列に色付け</v>
      </c>
      <c r="AQ25" s="575"/>
      <c r="AR25" s="575"/>
      <c r="AX25" s="576"/>
      <c r="AY25" s="535" t="str">
        <f>G23</f>
        <v>中央区</v>
      </c>
    </row>
    <row r="26" spans="1:51" ht="32.15" customHeight="1">
      <c r="A26" s="1238">
        <v>5</v>
      </c>
      <c r="B26" s="1239">
        <f>IF(基本情報入力シート!C58="","",基本情報入力シート!C58)</f>
        <v>1334567893</v>
      </c>
      <c r="C26" s="1239"/>
      <c r="D26" s="1239"/>
      <c r="E26" s="1239"/>
      <c r="F26" s="1239"/>
      <c r="G26" s="1241" t="str">
        <f>IF(基本情報入力シート!M58="","",基本情報入力シート!M58)</f>
        <v>千葉県</v>
      </c>
      <c r="H26" s="1241" t="str">
        <f>IF(基本情報入力シート!R58="","",基本情報入力シート!R58)</f>
        <v>千葉県</v>
      </c>
      <c r="I26" s="1241" t="str">
        <f>IF(基本情報入力シート!W58="","",基本情報入力シート!W58)</f>
        <v>千葉市</v>
      </c>
      <c r="J26" s="1241" t="str">
        <f>IF(基本情報入力シート!X58="","",基本情報入力シート!X58)</f>
        <v>介護老人福祉施設○○園</v>
      </c>
      <c r="K26" s="1241" t="str">
        <f>IF(基本情報入力シート!Y58="","",基本情報入力シート!Y58)</f>
        <v>介護老人福祉施設</v>
      </c>
      <c r="L26" s="1293">
        <f>IF(基本情報入力シート!AB58="","",基本情報入力シート!AB58)</f>
        <v>1935000</v>
      </c>
      <c r="M26" s="1294">
        <f>IF(基本情報入力シート!AC58="","",基本情報入力シート!AC58)</f>
        <v>10.68</v>
      </c>
      <c r="N26" s="539" t="s">
        <v>183</v>
      </c>
      <c r="O26" s="144" t="s">
        <v>186</v>
      </c>
      <c r="P26" s="540">
        <f>IFERROR(VLOOKUP(K26,【参考】数式用!$A$5:$J$27,MATCH(O26,【参考】数式用!$B$4:$J$4,0)+1,0),"")</f>
        <v>0.06</v>
      </c>
      <c r="Q26" s="144" t="s">
        <v>186</v>
      </c>
      <c r="R26" s="540">
        <f>IFERROR(VLOOKUP(K26,【参考】数式用!$A$5:$J$27,MATCH(Q26,【参考】数式用!$B$4:$J$4,0)+1,0),"")</f>
        <v>0.06</v>
      </c>
      <c r="S26" s="541" t="s">
        <v>19</v>
      </c>
      <c r="T26" s="542">
        <v>6</v>
      </c>
      <c r="U26" s="194" t="s">
        <v>10</v>
      </c>
      <c r="V26" s="67">
        <v>4</v>
      </c>
      <c r="W26" s="194" t="s">
        <v>45</v>
      </c>
      <c r="X26" s="542">
        <v>6</v>
      </c>
      <c r="Y26" s="194" t="s">
        <v>10</v>
      </c>
      <c r="Z26" s="67">
        <v>4</v>
      </c>
      <c r="AA26" s="194" t="s">
        <v>13</v>
      </c>
      <c r="AB26" s="543" t="s">
        <v>24</v>
      </c>
      <c r="AC26" s="544">
        <f t="shared" si="4"/>
        <v>1</v>
      </c>
      <c r="AD26" s="194" t="s">
        <v>38</v>
      </c>
      <c r="AE26" s="545">
        <f>IFERROR(ROUNDDOWN(ROUND(L26*R26,0)*M26,0)*AC26,"")</f>
        <v>1239948</v>
      </c>
      <c r="AF26" s="546">
        <f>IFERROR(ROUNDDOWN(ROUND(L26*(R26-P26),0)*M26,0)*AC26,"")</f>
        <v>0</v>
      </c>
      <c r="AG26" s="547"/>
      <c r="AH26" s="457"/>
      <c r="AI26" s="465" t="s">
        <v>2419</v>
      </c>
      <c r="AJ26" s="466"/>
      <c r="AK26" s="463"/>
      <c r="AL26" s="443"/>
      <c r="AM26" s="444"/>
      <c r="AN26" s="548" t="str">
        <f t="shared" ref="AN26" si="15">IF(AP26="","",IF(R26&lt;P26,"！加算の要件上は問題ありませんが、令和６年３月と比較して４・５月に加算率が下がる計画になっています。",""))</f>
        <v/>
      </c>
      <c r="AP26" s="549" t="str">
        <f>IF(K26&lt;&gt;"","P列・R列に色付け","")</f>
        <v>P列・R列に色付け</v>
      </c>
      <c r="AQ26" s="550" t="str">
        <f>IFERROR(VLOOKUP(K26,【参考】数式用!$AJ$2:$AK$24,2,FALSE),"")</f>
        <v>介護老人福祉施設</v>
      </c>
      <c r="AR26" s="552" t="str">
        <f>Q26&amp;Q27&amp;Q28</f>
        <v>処遇加算Ⅱ特定加算なしベア加算なし</v>
      </c>
      <c r="AS26" s="550" t="str">
        <f t="shared" ref="AS26" si="16">IF(AG28&lt;&gt;0,IF(AH28="○","入力済","未入力"),"")</f>
        <v/>
      </c>
      <c r="AT26" s="551" t="str">
        <f>IF(OR(Q26="処遇加算Ⅰ",Q26="処遇加算Ⅱ"),IF(OR(AI26="○",AI26="令和６年度中に満たす"),"入力済","未入力"),"")</f>
        <v>入力済</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千葉県</v>
      </c>
    </row>
    <row r="27" spans="1:51" ht="32.15" customHeight="1">
      <c r="A27" s="1223"/>
      <c r="B27" s="1220"/>
      <c r="C27" s="1220"/>
      <c r="D27" s="1220"/>
      <c r="E27" s="1220"/>
      <c r="F27" s="1220"/>
      <c r="G27" s="1232"/>
      <c r="H27" s="1232"/>
      <c r="I27" s="1232"/>
      <c r="J27" s="1232"/>
      <c r="K27" s="1232"/>
      <c r="L27" s="1235"/>
      <c r="M27" s="1290"/>
      <c r="N27" s="553" t="s">
        <v>170</v>
      </c>
      <c r="O27" s="145" t="s">
        <v>212</v>
      </c>
      <c r="P27" s="554">
        <f>IFERROR(VLOOKUP(K26,【参考】数式用!$A$5:$J$27,MATCH(O27,【参考】数式用!$B$4:$J$4,0)+1,0),"")</f>
        <v>0</v>
      </c>
      <c r="Q27" s="145" t="s">
        <v>212</v>
      </c>
      <c r="R27" s="554">
        <f>IFERROR(VLOOKUP(K26,【参考】数式用!$A$5:$J$27,MATCH(Q27,【参考】数式用!$B$4:$J$4,0)+1,0),"")</f>
        <v>0</v>
      </c>
      <c r="S27" s="165" t="s">
        <v>19</v>
      </c>
      <c r="T27" s="555">
        <v>6</v>
      </c>
      <c r="U27" s="166" t="s">
        <v>10</v>
      </c>
      <c r="V27" s="102">
        <v>4</v>
      </c>
      <c r="W27" s="166" t="s">
        <v>45</v>
      </c>
      <c r="X27" s="555">
        <v>6</v>
      </c>
      <c r="Y27" s="166" t="s">
        <v>10</v>
      </c>
      <c r="Z27" s="102">
        <v>4</v>
      </c>
      <c r="AA27" s="166" t="s">
        <v>13</v>
      </c>
      <c r="AB27" s="556" t="s">
        <v>24</v>
      </c>
      <c r="AC27" s="557">
        <f>IF(V27&gt;=1,(X27*12+Z27)-(T27*12+V27)+1,"")</f>
        <v>1</v>
      </c>
      <c r="AD27" s="166" t="s">
        <v>38</v>
      </c>
      <c r="AE27" s="558">
        <f>IFERROR(ROUNDDOWN(ROUND(L26*R27,0)*M26,0)*AC27,"")</f>
        <v>0</v>
      </c>
      <c r="AF27" s="559">
        <f>IFERROR(ROUNDDOWN(ROUND(L26*(R27-P27),0)*M26,0)*AC27,"")</f>
        <v>0</v>
      </c>
      <c r="AG27" s="560"/>
      <c r="AH27" s="445"/>
      <c r="AI27" s="446"/>
      <c r="AJ27" s="447"/>
      <c r="AK27" s="448"/>
      <c r="AL27" s="449"/>
      <c r="AM27" s="450"/>
      <c r="AN27" s="561"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2"/>
      <c r="AP27" s="549" t="str">
        <f>IF(K26&lt;&gt;"","P列・R列に色付け","")</f>
        <v>P列・R列に色付け</v>
      </c>
      <c r="AY27" s="535" t="str">
        <f>G26</f>
        <v>千葉県</v>
      </c>
    </row>
    <row r="28" spans="1:51" ht="32.15" customHeight="1" thickBot="1">
      <c r="A28" s="1237"/>
      <c r="B28" s="1240"/>
      <c r="C28" s="1240"/>
      <c r="D28" s="1240"/>
      <c r="E28" s="1240"/>
      <c r="F28" s="1240"/>
      <c r="G28" s="1242"/>
      <c r="H28" s="1242"/>
      <c r="I28" s="1242"/>
      <c r="J28" s="1242"/>
      <c r="K28" s="1242"/>
      <c r="L28" s="1295"/>
      <c r="M28" s="1296"/>
      <c r="N28" s="563" t="s">
        <v>140</v>
      </c>
      <c r="O28" s="146" t="s">
        <v>213</v>
      </c>
      <c r="P28" s="564">
        <f>IFERROR(VLOOKUP(K26,【参考】数式用!$A$5:$J$27,MATCH(O28,【参考】数式用!$B$4:$J$4,0)+1,0),"")</f>
        <v>0</v>
      </c>
      <c r="Q28" s="146" t="s">
        <v>213</v>
      </c>
      <c r="R28" s="564">
        <f>IFERROR(VLOOKUP(K26,【参考】数式用!$A$5:$J$27,MATCH(Q28,【参考】数式用!$B$4:$J$4,0)+1,0),"")</f>
        <v>0</v>
      </c>
      <c r="S28" s="565" t="s">
        <v>19</v>
      </c>
      <c r="T28" s="566">
        <v>6</v>
      </c>
      <c r="U28" s="567" t="s">
        <v>10</v>
      </c>
      <c r="V28" s="103">
        <v>4</v>
      </c>
      <c r="W28" s="567" t="s">
        <v>45</v>
      </c>
      <c r="X28" s="566">
        <v>6</v>
      </c>
      <c r="Y28" s="567" t="s">
        <v>10</v>
      </c>
      <c r="Z28" s="103">
        <v>5</v>
      </c>
      <c r="AA28" s="567" t="s">
        <v>13</v>
      </c>
      <c r="AB28" s="568" t="s">
        <v>24</v>
      </c>
      <c r="AC28" s="569">
        <f t="shared" si="4"/>
        <v>2</v>
      </c>
      <c r="AD28" s="567" t="s">
        <v>38</v>
      </c>
      <c r="AE28" s="582">
        <f>IFERROR(ROUNDDOWN(ROUND(L26*R28,0)*M26,0)*AC28,"")</f>
        <v>0</v>
      </c>
      <c r="AF28" s="571">
        <f>IFERROR(ROUNDDOWN(ROUND(L26*(R28-P28),0)*M26,0)*AC28,"")</f>
        <v>0</v>
      </c>
      <c r="AG28" s="572">
        <f t="shared" ref="AG28" si="18">IF(AND(O28="ベア加算なし",Q28="ベア加算"),AE28,0)</f>
        <v>0</v>
      </c>
      <c r="AH28" s="451"/>
      <c r="AI28" s="452"/>
      <c r="AJ28" s="453"/>
      <c r="AK28" s="454"/>
      <c r="AL28" s="455"/>
      <c r="AM28" s="456"/>
      <c r="AN28" s="573"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P列・R列に色付け</v>
      </c>
      <c r="AQ28" s="575"/>
      <c r="AR28" s="575"/>
      <c r="AX28" s="576"/>
      <c r="AY28" s="535" t="str">
        <f>G26</f>
        <v>千葉県</v>
      </c>
    </row>
    <row r="29" spans="1:51" ht="32.15" customHeight="1">
      <c r="A29" s="1222">
        <v>6</v>
      </c>
      <c r="B29" s="1219">
        <f>IF(基本情報入力シート!C59="","",基本情報入力シート!C59)</f>
        <v>1334567893</v>
      </c>
      <c r="C29" s="1219"/>
      <c r="D29" s="1219"/>
      <c r="E29" s="1219"/>
      <c r="F29" s="1219"/>
      <c r="G29" s="1231" t="str">
        <f>IF(基本情報入力シート!M59="","",基本情報入力シート!M59)</f>
        <v>千葉県</v>
      </c>
      <c r="H29" s="1231" t="str">
        <f>IF(基本情報入力シート!R59="","",基本情報入力シート!R59)</f>
        <v>千葉県</v>
      </c>
      <c r="I29" s="1231" t="str">
        <f>IF(基本情報入力シート!W59="","",基本情報入力シート!W59)</f>
        <v>千葉市</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10.68</v>
      </c>
      <c r="N29" s="539" t="s">
        <v>183</v>
      </c>
      <c r="O29" s="144" t="s">
        <v>186</v>
      </c>
      <c r="P29" s="540">
        <f>IFERROR(VLOOKUP(K29,【参考】数式用!$A$5:$J$27,MATCH(O29,【参考】数式用!$B$4:$J$4,0)+1,0),"")</f>
        <v>0.06</v>
      </c>
      <c r="Q29" s="144" t="s">
        <v>185</v>
      </c>
      <c r="R29" s="540">
        <f>IFERROR(VLOOKUP(K29,【参考】数式用!$A$5:$J$27,MATCH(Q29,【参考】数式用!$B$4:$J$4,0)+1,0),"")</f>
        <v>8.3000000000000004E-2</v>
      </c>
      <c r="S29" s="541" t="s">
        <v>19</v>
      </c>
      <c r="T29" s="542">
        <v>6</v>
      </c>
      <c r="U29" s="194" t="s">
        <v>10</v>
      </c>
      <c r="V29" s="67">
        <v>5</v>
      </c>
      <c r="W29" s="194" t="s">
        <v>45</v>
      </c>
      <c r="X29" s="542">
        <v>6</v>
      </c>
      <c r="Y29" s="194" t="s">
        <v>10</v>
      </c>
      <c r="Z29" s="67">
        <v>5</v>
      </c>
      <c r="AA29" s="194" t="s">
        <v>13</v>
      </c>
      <c r="AB29" s="543" t="s">
        <v>24</v>
      </c>
      <c r="AC29" s="544">
        <f t="shared" si="4"/>
        <v>1</v>
      </c>
      <c r="AD29" s="194" t="s">
        <v>38</v>
      </c>
      <c r="AE29" s="545">
        <f>IFERROR(ROUNDDOWN(ROUND(L29*R29,0)*M29,0)*AC29,"")</f>
        <v>1715261</v>
      </c>
      <c r="AF29" s="546">
        <f>IFERROR(ROUNDDOWN(ROUND(L29*(R29-P29),0)*M29,0)*AC29,"")</f>
        <v>475313</v>
      </c>
      <c r="AG29" s="547"/>
      <c r="AH29" s="457"/>
      <c r="AI29" s="465" t="s">
        <v>2419</v>
      </c>
      <c r="AJ29" s="462"/>
      <c r="AK29" s="463" t="s">
        <v>2169</v>
      </c>
      <c r="AL29" s="443"/>
      <c r="AM29" s="444"/>
      <c r="AN29" s="548" t="str">
        <f t="shared" ref="AN29" si="20">IF(AP29="","",IF(R29&lt;P29,"！加算の要件上は問題ありませんが、令和６年３月と比較して４・５月に加算率が下がる計画になっています。",""))</f>
        <v/>
      </c>
      <c r="AP29" s="549" t="str">
        <f>IF(K29&lt;&gt;"","P列・R列に色付け","")</f>
        <v>P列・R列に色付け</v>
      </c>
      <c r="AQ29" s="550" t="str">
        <f>IFERROR(VLOOKUP(K29,【参考】数式用!$AJ$2:$AK$24,2,FALSE),"")</f>
        <v>介護老人福祉施設</v>
      </c>
      <c r="AR29" s="552" t="str">
        <f>Q29&amp;Q30&amp;Q31</f>
        <v>処遇加算Ⅰ特定加算Ⅱベア加算なし</v>
      </c>
      <c r="AS29" s="550" t="str">
        <f t="shared" ref="AS29" si="21">IF(AG31&lt;&gt;0,IF(AH31="○","入力済","未入力"),"")</f>
        <v/>
      </c>
      <c r="AT29" s="551" t="str">
        <f>IF(OR(Q29="処遇加算Ⅰ",Q29="処遇加算Ⅱ"),IF(OR(AI29="○",AI29="令和６年度中に満たす"),"入力済","未入力"),"")</f>
        <v>入力済</v>
      </c>
      <c r="AU29" s="552" t="str">
        <f>IF(Q29="処遇加算Ⅲ",IF(AJ29="○","入力済","未入力"),"")</f>
        <v/>
      </c>
      <c r="AV29" s="550" t="str">
        <f>IF(Q29="処遇加算Ⅰ",IF(OR(AK29="○",AK29="令和６年度中に満たす"),"入力済","未入力"),"")</f>
        <v>入力済</v>
      </c>
      <c r="AW29" s="55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5" t="str">
        <f>IF(Q30="特定加算Ⅰ",IF(AM30="","未入力","入力済"),"")</f>
        <v/>
      </c>
      <c r="AY29" s="535" t="str">
        <f>G29</f>
        <v>千葉県</v>
      </c>
    </row>
    <row r="30" spans="1:51" ht="32.15" customHeight="1">
      <c r="A30" s="1223"/>
      <c r="B30" s="1220"/>
      <c r="C30" s="1220"/>
      <c r="D30" s="1220"/>
      <c r="E30" s="1220"/>
      <c r="F30" s="1220"/>
      <c r="G30" s="1232"/>
      <c r="H30" s="1232"/>
      <c r="I30" s="1232"/>
      <c r="J30" s="1232"/>
      <c r="K30" s="1232"/>
      <c r="L30" s="1235"/>
      <c r="M30" s="1290"/>
      <c r="N30" s="553" t="s">
        <v>170</v>
      </c>
      <c r="O30" s="145" t="s">
        <v>212</v>
      </c>
      <c r="P30" s="554">
        <f>IFERROR(VLOOKUP(K29,【参考】数式用!$A$5:$J$27,MATCH(O30,【参考】数式用!$B$4:$J$4,0)+1,0),"")</f>
        <v>0</v>
      </c>
      <c r="Q30" s="145" t="s">
        <v>21</v>
      </c>
      <c r="R30" s="554">
        <f>IFERROR(VLOOKUP(K29,【参考】数式用!$A$5:$J$27,MATCH(Q30,【参考】数式用!$B$4:$J$4,0)+1,0),"")</f>
        <v>2.3E-2</v>
      </c>
      <c r="S30" s="165" t="s">
        <v>19</v>
      </c>
      <c r="T30" s="555">
        <v>6</v>
      </c>
      <c r="U30" s="166" t="s">
        <v>10</v>
      </c>
      <c r="V30" s="102">
        <v>5</v>
      </c>
      <c r="W30" s="166" t="s">
        <v>45</v>
      </c>
      <c r="X30" s="555">
        <v>6</v>
      </c>
      <c r="Y30" s="166" t="s">
        <v>10</v>
      </c>
      <c r="Z30" s="102">
        <v>5</v>
      </c>
      <c r="AA30" s="166" t="s">
        <v>13</v>
      </c>
      <c r="AB30" s="556" t="s">
        <v>24</v>
      </c>
      <c r="AC30" s="557">
        <f t="shared" si="4"/>
        <v>1</v>
      </c>
      <c r="AD30" s="166" t="s">
        <v>38</v>
      </c>
      <c r="AE30" s="558">
        <f>IFERROR(ROUNDDOWN(ROUND(L29*R30,0)*M29,0)*AC30,"")</f>
        <v>475313</v>
      </c>
      <c r="AF30" s="559">
        <f>IFERROR(ROUNDDOWN(ROUND(L29*(R30-P30),0)*M29,0)*AC30,"")</f>
        <v>475313</v>
      </c>
      <c r="AG30" s="560"/>
      <c r="AH30" s="445"/>
      <c r="AI30" s="446"/>
      <c r="AJ30" s="447"/>
      <c r="AK30" s="448"/>
      <c r="AL30" s="449">
        <v>1</v>
      </c>
      <c r="AM30" s="450"/>
      <c r="AN30" s="561"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P列・R列に色付け</v>
      </c>
      <c r="AY30" s="535" t="str">
        <f>G29</f>
        <v>千葉県</v>
      </c>
    </row>
    <row r="31" spans="1:51" ht="32.15" customHeight="1" thickBot="1">
      <c r="A31" s="1224"/>
      <c r="B31" s="1221"/>
      <c r="C31" s="1221"/>
      <c r="D31" s="1221"/>
      <c r="E31" s="1221"/>
      <c r="F31" s="1221"/>
      <c r="G31" s="1233"/>
      <c r="H31" s="1233"/>
      <c r="I31" s="1233"/>
      <c r="J31" s="1233"/>
      <c r="K31" s="1233"/>
      <c r="L31" s="1236"/>
      <c r="M31" s="1291"/>
      <c r="N31" s="577" t="s">
        <v>140</v>
      </c>
      <c r="O31" s="148" t="s">
        <v>213</v>
      </c>
      <c r="P31" s="564">
        <f>IFERROR(VLOOKUP(K29,【参考】数式用!$A$5:$J$27,MATCH(O31,【参考】数式用!$B$4:$J$4,0)+1,0),"")</f>
        <v>0</v>
      </c>
      <c r="Q31" s="148" t="s">
        <v>213</v>
      </c>
      <c r="R31" s="583">
        <f>IFERROR(VLOOKUP(K29,【参考】数式用!$A$5:$J$27,MATCH(Q31,【参考】数式用!$B$4:$J$4,0)+1,0),"")</f>
        <v>0</v>
      </c>
      <c r="S31" s="584" t="s">
        <v>19</v>
      </c>
      <c r="T31" s="585">
        <v>6</v>
      </c>
      <c r="U31" s="203" t="s">
        <v>10</v>
      </c>
      <c r="V31" s="116">
        <v>4</v>
      </c>
      <c r="W31" s="203" t="s">
        <v>45</v>
      </c>
      <c r="X31" s="585">
        <v>6</v>
      </c>
      <c r="Y31" s="203" t="s">
        <v>10</v>
      </c>
      <c r="Z31" s="116">
        <v>5</v>
      </c>
      <c r="AA31" s="203" t="s">
        <v>13</v>
      </c>
      <c r="AB31" s="586" t="s">
        <v>24</v>
      </c>
      <c r="AC31" s="587">
        <f t="shared" si="4"/>
        <v>2</v>
      </c>
      <c r="AD31" s="203" t="s">
        <v>38</v>
      </c>
      <c r="AE31" s="588">
        <f>IFERROR(ROUNDDOWN(ROUND(L29*R31,0)*M29,0)*AC31,"")</f>
        <v>0</v>
      </c>
      <c r="AF31" s="571">
        <f>IFERROR(ROUNDDOWN(ROUND(L29*(R31-P31),0)*M29,0)*AC31,"")</f>
        <v>0</v>
      </c>
      <c r="AG31" s="572">
        <f t="shared" ref="AG31" si="23">IF(AND(O31="ベア加算なし",Q31="ベア加算"),AE31,0)</f>
        <v>0</v>
      </c>
      <c r="AH31" s="451"/>
      <c r="AI31" s="452"/>
      <c r="AJ31" s="453"/>
      <c r="AK31" s="454"/>
      <c r="AL31" s="455"/>
      <c r="AM31" s="456"/>
      <c r="AN31" s="57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P列・R列に色付け</v>
      </c>
      <c r="AQ31" s="575"/>
      <c r="AR31" s="575"/>
      <c r="AX31" s="576"/>
      <c r="AY31" s="535" t="str">
        <f>G29</f>
        <v>千葉県</v>
      </c>
    </row>
    <row r="32" spans="1:51" ht="32.15" customHeight="1">
      <c r="A32" s="1222">
        <v>7</v>
      </c>
      <c r="B32" s="1219">
        <f>IF(基本情報入力シート!C60="","",基本情報入力シート!C60)</f>
        <v>1334567894</v>
      </c>
      <c r="C32" s="1219"/>
      <c r="D32" s="1219"/>
      <c r="E32" s="1219"/>
      <c r="F32" s="1219"/>
      <c r="G32" s="1231" t="str">
        <f>IF(基本情報入力シート!M60="","",基本情報入力シート!M60)</f>
        <v>千葉県</v>
      </c>
      <c r="H32" s="1231" t="str">
        <f>IF(基本情報入力シート!R60="","",基本情報入力シート!R60)</f>
        <v>千葉県</v>
      </c>
      <c r="I32" s="1231" t="str">
        <f>IF(基本情報入力シート!W60="","",基本情報入力シート!W60)</f>
        <v>千葉市</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10.83</v>
      </c>
      <c r="N32" s="539" t="s">
        <v>183</v>
      </c>
      <c r="O32" s="144" t="s">
        <v>187</v>
      </c>
      <c r="P32" s="540">
        <f>IFERROR(VLOOKUP(K32,【参考】数式用!$A$5:$J$27,MATCH(O32,【参考】数式用!$B$4:$J$4,0)+1,0),"")</f>
        <v>3.3000000000000002E-2</v>
      </c>
      <c r="Q32" s="144" t="s">
        <v>187</v>
      </c>
      <c r="R32" s="540">
        <f>IFERROR(VLOOKUP(K32,【参考】数式用!$A$5:$J$27,MATCH(Q32,【参考】数式用!$B$4:$J$4,0)+1,0),"")</f>
        <v>3.3000000000000002E-2</v>
      </c>
      <c r="S32" s="541" t="s">
        <v>19</v>
      </c>
      <c r="T32" s="542">
        <v>6</v>
      </c>
      <c r="U32" s="194" t="s">
        <v>10</v>
      </c>
      <c r="V32" s="67">
        <v>4</v>
      </c>
      <c r="W32" s="194" t="s">
        <v>45</v>
      </c>
      <c r="X32" s="542">
        <v>6</v>
      </c>
      <c r="Y32" s="194" t="s">
        <v>10</v>
      </c>
      <c r="Z32" s="67">
        <v>5</v>
      </c>
      <c r="AA32" s="194" t="s">
        <v>13</v>
      </c>
      <c r="AB32" s="543" t="s">
        <v>24</v>
      </c>
      <c r="AC32" s="544">
        <f t="shared" si="4"/>
        <v>2</v>
      </c>
      <c r="AD32" s="194" t="s">
        <v>38</v>
      </c>
      <c r="AE32" s="545">
        <f>IFERROR(ROUNDDOWN(ROUND(L32*R32,0)*M32,0)*AC32,"")</f>
        <v>169402</v>
      </c>
      <c r="AF32" s="546">
        <f>IFERROR(ROUNDDOWN(ROUND(L32*(R32-P32),0)*M32,0)*AC32,"")</f>
        <v>0</v>
      </c>
      <c r="AG32" s="547"/>
      <c r="AH32" s="457"/>
      <c r="AI32" s="465"/>
      <c r="AJ32" s="462" t="s">
        <v>2419</v>
      </c>
      <c r="AK32" s="463"/>
      <c r="AL32" s="443"/>
      <c r="AM32" s="444"/>
      <c r="AN32" s="548" t="str">
        <f t="shared" ref="AN32" si="24">IF(AP32="","",IF(R32&lt;P32,"！加算の要件上は問題ありませんが、令和６年３月と比較して４・５月に加算率が下がる計画になっています。",""))</f>
        <v/>
      </c>
      <c r="AP32" s="549" t="str">
        <f>IF(K32&lt;&gt;"","P列・R列に色付け","")</f>
        <v>P列・R列に色付け</v>
      </c>
      <c r="AQ32" s="550" t="str">
        <f>IFERROR(VLOOKUP(K32,【参考】数式用!$AJ$2:$AK$24,2,FALSE),"")</f>
        <v>介護予防_短期入所生活介護</v>
      </c>
      <c r="AR32" s="552" t="str">
        <f>Q32&amp;Q33&amp;Q34</f>
        <v>処遇加算Ⅲ特定加算Ⅱベア加算なし</v>
      </c>
      <c r="AS32" s="550" t="str">
        <f t="shared" ref="AS32" si="25">IF(AG34&lt;&gt;0,IF(AH34="○","入力済","未入力"),"")</f>
        <v/>
      </c>
      <c r="AT32" s="551" t="str">
        <f>IF(OR(Q32="処遇加算Ⅰ",Q32="処遇加算Ⅱ"),IF(OR(AI32="○",AI32="令和６年度中に満たす"),"入力済","未入力"),"")</f>
        <v/>
      </c>
      <c r="AU32" s="552" t="str">
        <f>IF(Q32="処遇加算Ⅲ",IF(AJ32="○","入力済","未入力"),"")</f>
        <v>入力済</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千葉県</v>
      </c>
    </row>
    <row r="33" spans="1:51" ht="32.15" customHeight="1">
      <c r="A33" s="1223"/>
      <c r="B33" s="1220"/>
      <c r="C33" s="1220"/>
      <c r="D33" s="1220"/>
      <c r="E33" s="1220"/>
      <c r="F33" s="1220"/>
      <c r="G33" s="1232"/>
      <c r="H33" s="1232"/>
      <c r="I33" s="1232"/>
      <c r="J33" s="1232"/>
      <c r="K33" s="1232"/>
      <c r="L33" s="1235"/>
      <c r="M33" s="1290"/>
      <c r="N33" s="553" t="s">
        <v>170</v>
      </c>
      <c r="O33" s="145" t="s">
        <v>21</v>
      </c>
      <c r="P33" s="554">
        <f>IFERROR(VLOOKUP(K32,【参考】数式用!$A$5:$J$27,MATCH(O33,【参考】数式用!$B$4:$J$4,0)+1,0),"")</f>
        <v>2.3E-2</v>
      </c>
      <c r="Q33" s="145" t="s">
        <v>21</v>
      </c>
      <c r="R33" s="554">
        <f>IFERROR(VLOOKUP(K32,【参考】数式用!$A$5:$J$27,MATCH(Q33,【参考】数式用!$B$4:$J$4,0)+1,0),"")</f>
        <v>2.3E-2</v>
      </c>
      <c r="S33" s="165" t="s">
        <v>19</v>
      </c>
      <c r="T33" s="555">
        <v>6</v>
      </c>
      <c r="U33" s="166" t="s">
        <v>10</v>
      </c>
      <c r="V33" s="102">
        <v>4</v>
      </c>
      <c r="W33" s="166" t="s">
        <v>45</v>
      </c>
      <c r="X33" s="555">
        <v>6</v>
      </c>
      <c r="Y33" s="166" t="s">
        <v>10</v>
      </c>
      <c r="Z33" s="102">
        <v>5</v>
      </c>
      <c r="AA33" s="166" t="s">
        <v>13</v>
      </c>
      <c r="AB33" s="556" t="s">
        <v>24</v>
      </c>
      <c r="AC33" s="557">
        <f t="shared" si="4"/>
        <v>2</v>
      </c>
      <c r="AD33" s="166" t="s">
        <v>38</v>
      </c>
      <c r="AE33" s="558">
        <f>IFERROR(ROUNDDOWN(ROUND(L32*R33,0)*M32,0)*AC33,"")</f>
        <v>118068</v>
      </c>
      <c r="AF33" s="559">
        <f>IFERROR(ROUNDDOWN(ROUND(L32*(R33-P33),0)*M32,0)*AC33,"")</f>
        <v>0</v>
      </c>
      <c r="AG33" s="560"/>
      <c r="AH33" s="445"/>
      <c r="AI33" s="446"/>
      <c r="AJ33" s="447"/>
      <c r="AK33" s="448"/>
      <c r="AL33" s="449"/>
      <c r="AM33" s="450"/>
      <c r="AN33" s="561"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P列・R列に色付け</v>
      </c>
      <c r="AY33" s="535" t="str">
        <f>G32</f>
        <v>千葉県</v>
      </c>
    </row>
    <row r="34" spans="1:51" ht="32.15" customHeight="1" thickBot="1">
      <c r="A34" s="1224"/>
      <c r="B34" s="1221"/>
      <c r="C34" s="1221"/>
      <c r="D34" s="1221"/>
      <c r="E34" s="1221"/>
      <c r="F34" s="1221"/>
      <c r="G34" s="1233"/>
      <c r="H34" s="1233"/>
      <c r="I34" s="1233"/>
      <c r="J34" s="1233"/>
      <c r="K34" s="1233"/>
      <c r="L34" s="1236"/>
      <c r="M34" s="1291"/>
      <c r="N34" s="563" t="s">
        <v>140</v>
      </c>
      <c r="O34" s="148" t="s">
        <v>213</v>
      </c>
      <c r="P34" s="583">
        <f>IFERROR(VLOOKUP(K32,【参考】数式用!$A$5:$J$27,MATCH(O34,【参考】数式用!$B$4:$J$4,0)+1,0),"")</f>
        <v>0</v>
      </c>
      <c r="Q34" s="146" t="s">
        <v>213</v>
      </c>
      <c r="R34" s="564">
        <f>IFERROR(VLOOKUP(K32,【参考】数式用!$A$5:$J$27,MATCH(Q34,【参考】数式用!$B$4:$J$4,0)+1,0),"")</f>
        <v>0</v>
      </c>
      <c r="S34" s="565" t="s">
        <v>19</v>
      </c>
      <c r="T34" s="566">
        <v>6</v>
      </c>
      <c r="U34" s="567" t="s">
        <v>10</v>
      </c>
      <c r="V34" s="103">
        <v>4</v>
      </c>
      <c r="W34" s="567" t="s">
        <v>45</v>
      </c>
      <c r="X34" s="566">
        <v>6</v>
      </c>
      <c r="Y34" s="567" t="s">
        <v>10</v>
      </c>
      <c r="Z34" s="103">
        <v>5</v>
      </c>
      <c r="AA34" s="567" t="s">
        <v>13</v>
      </c>
      <c r="AB34" s="568" t="s">
        <v>24</v>
      </c>
      <c r="AC34" s="569">
        <f t="shared" si="4"/>
        <v>2</v>
      </c>
      <c r="AD34" s="567" t="s">
        <v>38</v>
      </c>
      <c r="AE34" s="570">
        <f>IFERROR(ROUNDDOWN(ROUND(L32*R34,0)*M32,0)*AC34,"")</f>
        <v>0</v>
      </c>
      <c r="AF34" s="571">
        <f>IFERROR(ROUNDDOWN(ROUND(L32*(R34-P34),0)*M32,0)*AC34,"")</f>
        <v>0</v>
      </c>
      <c r="AG34" s="572">
        <f t="shared" ref="AG34" si="27">IF(AND(O34="ベア加算なし",Q34="ベア加算"),AE34,0)</f>
        <v>0</v>
      </c>
      <c r="AH34" s="451"/>
      <c r="AI34" s="452"/>
      <c r="AJ34" s="453"/>
      <c r="AK34" s="454"/>
      <c r="AL34" s="455"/>
      <c r="AM34" s="456"/>
      <c r="AN34" s="573"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4" t="str">
        <f>IF(K32&lt;&gt;"","P列・R列に色付け","")</f>
        <v>P列・R列に色付け</v>
      </c>
      <c r="AQ34" s="575"/>
      <c r="AR34" s="575"/>
      <c r="AX34" s="576"/>
      <c r="AY34" s="535" t="str">
        <f>G32</f>
        <v>千葉県</v>
      </c>
    </row>
    <row r="35" spans="1:51" ht="32.15" customHeight="1">
      <c r="A35" s="1222">
        <v>8</v>
      </c>
      <c r="B35" s="1219" t="str">
        <f>IF(基本情報入力シート!C61="","",基本情報入力シート!C61)</f>
        <v>1334567840</v>
      </c>
      <c r="C35" s="1219"/>
      <c r="D35" s="1219"/>
      <c r="E35" s="1219"/>
      <c r="F35" s="1219"/>
      <c r="G35" s="1231" t="str">
        <f>IF(基本情報入力シート!M61="","",基本情報入力シート!M61)</f>
        <v>東京都</v>
      </c>
      <c r="H35" s="1231" t="str">
        <f>IF(基本情報入力シート!R61="","",基本情報入力シート!R61)</f>
        <v>東京都</v>
      </c>
      <c r="I35" s="1231" t="str">
        <f>IF(基本情報入力シート!W61="","",基本情報入力シート!W61)</f>
        <v>千代田区</v>
      </c>
      <c r="J35" s="1231" t="str">
        <f>IF(基本情報入力シート!X61="","",基本情報入力シート!X61)</f>
        <v>○○の家</v>
      </c>
      <c r="K35" s="1231" t="str">
        <f>IF(基本情報入力シート!Y61="","",基本情報入力シート!Y61)</f>
        <v>介護老人福祉施設</v>
      </c>
      <c r="L35" s="1234">
        <f>IF(基本情報入力シート!AB61="","",基本情報入力シート!AB61)</f>
        <v>1800000</v>
      </c>
      <c r="M35" s="1289">
        <f>IF(基本情報入力シート!AC61="","",基本情報入力シート!AC61)</f>
        <v>10.9</v>
      </c>
      <c r="N35" s="539" t="s">
        <v>183</v>
      </c>
      <c r="O35" s="144" t="s">
        <v>2206</v>
      </c>
      <c r="P35" s="540">
        <f>IFERROR(VLOOKUP(K35,【参考】数式用!$A$5:$J$27,MATCH(O35,【参考】数式用!$B$4:$J$4,0)+1,0),"")</f>
        <v>0</v>
      </c>
      <c r="Q35" s="144" t="s">
        <v>187</v>
      </c>
      <c r="R35" s="540">
        <f>IFERROR(VLOOKUP(K35,【参考】数式用!$A$5:$J$27,MATCH(Q35,【参考】数式用!$B$4:$J$4,0)+1,0),"")</f>
        <v>3.3000000000000002E-2</v>
      </c>
      <c r="S35" s="541" t="s">
        <v>19</v>
      </c>
      <c r="T35" s="542">
        <v>6</v>
      </c>
      <c r="U35" s="194" t="s">
        <v>10</v>
      </c>
      <c r="V35" s="67">
        <v>4</v>
      </c>
      <c r="W35" s="194" t="s">
        <v>45</v>
      </c>
      <c r="X35" s="542">
        <v>6</v>
      </c>
      <c r="Y35" s="194" t="s">
        <v>10</v>
      </c>
      <c r="Z35" s="67">
        <v>5</v>
      </c>
      <c r="AA35" s="194" t="s">
        <v>13</v>
      </c>
      <c r="AB35" s="543" t="s">
        <v>24</v>
      </c>
      <c r="AC35" s="544">
        <f t="shared" ref="AC35:AC46" si="29">IF(V35&gt;=1,(X35*12+Z35)-(T35*12+V35)+1,"")</f>
        <v>2</v>
      </c>
      <c r="AD35" s="194" t="s">
        <v>38</v>
      </c>
      <c r="AE35" s="545">
        <f>IFERROR(ROUNDDOWN(ROUND(L35*R35,0)*M35,0)*AC35,"")</f>
        <v>1294920</v>
      </c>
      <c r="AF35" s="546">
        <f>IFERROR(ROUNDDOWN(ROUND(L35*(R35-P35),0)*M35,0)*AC35,"")</f>
        <v>1294920</v>
      </c>
      <c r="AG35" s="547"/>
      <c r="AH35" s="457"/>
      <c r="AI35" s="465"/>
      <c r="AJ35" s="462" t="s">
        <v>2419</v>
      </c>
      <c r="AK35" s="463"/>
      <c r="AL35" s="443"/>
      <c r="AM35" s="444"/>
      <c r="AN35" s="548" t="str">
        <f t="shared" ref="AN35" si="30">IF(AP35="","",IF(R35&lt;P35,"！加算の要件上は問題ありませんが、令和６年３月と比較して４・５月に加算率が下がる計画になっています。",""))</f>
        <v/>
      </c>
      <c r="AP35" s="549" t="str">
        <f>IF(K35&lt;&gt;"","P列・R列に色付け","")</f>
        <v>P列・R列に色付け</v>
      </c>
      <c r="AQ35" s="550" t="str">
        <f>IFERROR(VLOOKUP(K35,【参考】数式用!$AJ$2:$AK$24,2,FALSE),"")</f>
        <v>介護老人福祉施設</v>
      </c>
      <c r="AR35" s="552" t="str">
        <f>Q35&amp;Q36&amp;Q37</f>
        <v>処遇加算Ⅲ特定加算なしベア加算</v>
      </c>
      <c r="AS35" s="550" t="str">
        <f t="shared" ref="AS35" si="31">IF(AG37&lt;&gt;0,IF(AH37="○","入力済","未入力"),"")</f>
        <v>入力済</v>
      </c>
      <c r="AT35" s="551" t="str">
        <f>IF(OR(Q35="処遇加算Ⅰ",Q35="処遇加算Ⅱ"),IF(OR(AI35="○",AI35="令和６年度中に満たす"),"入力済","未入力"),"")</f>
        <v/>
      </c>
      <c r="AU35" s="552" t="str">
        <f>IF(Q35="処遇加算Ⅲ",IF(AJ35="○","入力済","未入力"),"")</f>
        <v>入力済</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東京都</v>
      </c>
    </row>
    <row r="36" spans="1:51" ht="32.15" customHeight="1">
      <c r="A36" s="1223"/>
      <c r="B36" s="1220"/>
      <c r="C36" s="1220"/>
      <c r="D36" s="1220"/>
      <c r="E36" s="1220"/>
      <c r="F36" s="1220"/>
      <c r="G36" s="1232"/>
      <c r="H36" s="1232"/>
      <c r="I36" s="1232"/>
      <c r="J36" s="1232"/>
      <c r="K36" s="1232"/>
      <c r="L36" s="1235"/>
      <c r="M36" s="1290"/>
      <c r="N36" s="553" t="s">
        <v>170</v>
      </c>
      <c r="O36" s="145" t="s">
        <v>212</v>
      </c>
      <c r="P36" s="554">
        <f>IFERROR(VLOOKUP(K35,【参考】数式用!$A$5:$J$27,MATCH(O36,【参考】数式用!$B$4:$J$4,0)+1,0),"")</f>
        <v>0</v>
      </c>
      <c r="Q36" s="145" t="s">
        <v>212</v>
      </c>
      <c r="R36" s="554">
        <f>IFERROR(VLOOKUP(K35,【参考】数式用!$A$5:$J$27,MATCH(Q36,【参考】数式用!$B$4:$J$4,0)+1,0),"")</f>
        <v>0</v>
      </c>
      <c r="S36" s="165" t="s">
        <v>19</v>
      </c>
      <c r="T36" s="555">
        <v>6</v>
      </c>
      <c r="U36" s="166" t="s">
        <v>10</v>
      </c>
      <c r="V36" s="102">
        <v>4</v>
      </c>
      <c r="W36" s="166" t="s">
        <v>45</v>
      </c>
      <c r="X36" s="555">
        <v>6</v>
      </c>
      <c r="Y36" s="166" t="s">
        <v>10</v>
      </c>
      <c r="Z36" s="102">
        <v>5</v>
      </c>
      <c r="AA36" s="166" t="s">
        <v>13</v>
      </c>
      <c r="AB36" s="556" t="s">
        <v>24</v>
      </c>
      <c r="AC36" s="557">
        <f t="shared" si="29"/>
        <v>2</v>
      </c>
      <c r="AD36" s="166" t="s">
        <v>38</v>
      </c>
      <c r="AE36" s="558">
        <f>IFERROR(ROUNDDOWN(ROUND(L35*R36,0)*M35,0)*AC36,"")</f>
        <v>0</v>
      </c>
      <c r="AF36" s="559">
        <f>IFERROR(ROUNDDOWN(ROUND(L35*(R36-P36),0)*M35,0)*AC36,"")</f>
        <v>0</v>
      </c>
      <c r="AG36" s="560"/>
      <c r="AH36" s="445"/>
      <c r="AI36" s="446"/>
      <c r="AJ36" s="447"/>
      <c r="AK36" s="448"/>
      <c r="AL36" s="449"/>
      <c r="AM36" s="450"/>
      <c r="AN36" s="561"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P列・R列に色付け</v>
      </c>
      <c r="AY36" s="535" t="str">
        <f>G35</f>
        <v>東京都</v>
      </c>
    </row>
    <row r="37" spans="1:51" ht="32.15" customHeight="1" thickBot="1">
      <c r="A37" s="1224"/>
      <c r="B37" s="1221"/>
      <c r="C37" s="1292"/>
      <c r="D37" s="1221"/>
      <c r="E37" s="1221"/>
      <c r="F37" s="1221"/>
      <c r="G37" s="1233"/>
      <c r="H37" s="1233"/>
      <c r="I37" s="1233"/>
      <c r="J37" s="1233"/>
      <c r="K37" s="1233"/>
      <c r="L37" s="1236"/>
      <c r="M37" s="1291"/>
      <c r="N37" s="563" t="s">
        <v>140</v>
      </c>
      <c r="O37" s="148" t="s">
        <v>213</v>
      </c>
      <c r="P37" s="583">
        <f>IFERROR(VLOOKUP(K35,【参考】数式用!$A$5:$J$27,MATCH(O37,【参考】数式用!$B$4:$J$4,0)+1,0),"")</f>
        <v>0</v>
      </c>
      <c r="Q37" s="146" t="s">
        <v>184</v>
      </c>
      <c r="R37" s="564">
        <f>IFERROR(VLOOKUP(K35,【参考】数式用!$A$5:$J$27,MATCH(Q37,【参考】数式用!$B$4:$J$4,0)+1,0),"")</f>
        <v>1.6E-2</v>
      </c>
      <c r="S37" s="565" t="s">
        <v>19</v>
      </c>
      <c r="T37" s="566">
        <v>6</v>
      </c>
      <c r="U37" s="567" t="s">
        <v>10</v>
      </c>
      <c r="V37" s="103">
        <v>4</v>
      </c>
      <c r="W37" s="567" t="s">
        <v>45</v>
      </c>
      <c r="X37" s="566">
        <v>6</v>
      </c>
      <c r="Y37" s="567" t="s">
        <v>10</v>
      </c>
      <c r="Z37" s="103">
        <v>5</v>
      </c>
      <c r="AA37" s="567" t="s">
        <v>13</v>
      </c>
      <c r="AB37" s="568" t="s">
        <v>24</v>
      </c>
      <c r="AC37" s="569">
        <f t="shared" si="29"/>
        <v>2</v>
      </c>
      <c r="AD37" s="567" t="s">
        <v>38</v>
      </c>
      <c r="AE37" s="582">
        <f>IFERROR(ROUNDDOWN(ROUND(L35*R37,0)*M35,0)*AC37,"")</f>
        <v>627840</v>
      </c>
      <c r="AF37" s="571">
        <f>IFERROR(ROUNDDOWN(ROUND(L35*(R37-P37),0)*M35,0)*AC37,"")</f>
        <v>627840</v>
      </c>
      <c r="AG37" s="572">
        <f t="shared" ref="AG37" si="33">IF(AND(O37="ベア加算なし",Q37="ベア加算"),AE37,0)</f>
        <v>627840</v>
      </c>
      <c r="AH37" s="451" t="s">
        <v>2419</v>
      </c>
      <c r="AI37" s="452"/>
      <c r="AJ37" s="453"/>
      <c r="AK37" s="454"/>
      <c r="AL37" s="455"/>
      <c r="AM37" s="456"/>
      <c r="AN37" s="573"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P列・R列に色付け</v>
      </c>
      <c r="AQ37" s="575"/>
      <c r="AR37" s="575"/>
      <c r="AX37" s="576"/>
      <c r="AY37" s="535" t="str">
        <f>G35</f>
        <v>東京都</v>
      </c>
    </row>
    <row r="38" spans="1:51" ht="32.15" customHeight="1">
      <c r="A38" s="1222">
        <v>9</v>
      </c>
      <c r="B38" s="1219" t="str">
        <f>IF(基本情報入力シート!C62="","",基本情報入力シート!C62)</f>
        <v>1234567892</v>
      </c>
      <c r="C38" s="1219"/>
      <c r="D38" s="1219"/>
      <c r="E38" s="1219"/>
      <c r="F38" s="1219"/>
      <c r="G38" s="1231" t="str">
        <f>IF(基本情報入力シート!M62="","",基本情報入力シート!M62)</f>
        <v>千葉県</v>
      </c>
      <c r="H38" s="1231" t="str">
        <f>IF(基本情報入力シート!R62="","",基本情報入力シート!R62)</f>
        <v>千葉県</v>
      </c>
      <c r="I38" s="1231" t="str">
        <f>IF(基本情報入力シート!W62="","",基本情報入力シート!W62)</f>
        <v>千葉市</v>
      </c>
      <c r="J38" s="1231" t="str">
        <f>IF(基本情報入力シート!X62="","",基本情報入力シート!X62)</f>
        <v>○○センター</v>
      </c>
      <c r="K38" s="1231" t="str">
        <f>IF(基本情報入力シート!Y62="","",基本情報入力シート!Y62)</f>
        <v>地域密着型通所介護</v>
      </c>
      <c r="L38" s="1234">
        <f>IF(基本情報入力シート!AB62="","",基本情報入力シート!AB62)</f>
        <v>1935000</v>
      </c>
      <c r="M38" s="1289">
        <f>IF(基本情報入力シート!AC62="","",基本情報入力シート!AC62)</f>
        <v>10.68</v>
      </c>
      <c r="N38" s="539" t="s">
        <v>183</v>
      </c>
      <c r="O38" s="144" t="s">
        <v>2206</v>
      </c>
      <c r="P38" s="540">
        <f>IFERROR(VLOOKUP(K38,【参考】数式用!$A$5:$J$27,MATCH(O38,【参考】数式用!$B$4:$J$4,0)+1,0),"")</f>
        <v>0</v>
      </c>
      <c r="Q38" s="144" t="s">
        <v>187</v>
      </c>
      <c r="R38" s="540">
        <f>IFERROR(VLOOKUP(K38,【参考】数式用!$A$5:$J$27,MATCH(Q38,【参考】数式用!$B$4:$J$4,0)+1,0),"")</f>
        <v>2.3E-2</v>
      </c>
      <c r="S38" s="541" t="s">
        <v>19</v>
      </c>
      <c r="T38" s="542">
        <v>6</v>
      </c>
      <c r="U38" s="194" t="s">
        <v>10</v>
      </c>
      <c r="V38" s="67">
        <v>4</v>
      </c>
      <c r="W38" s="194" t="s">
        <v>45</v>
      </c>
      <c r="X38" s="542">
        <v>6</v>
      </c>
      <c r="Y38" s="194" t="s">
        <v>10</v>
      </c>
      <c r="Z38" s="67">
        <v>5</v>
      </c>
      <c r="AA38" s="194" t="s">
        <v>13</v>
      </c>
      <c r="AB38" s="543" t="s">
        <v>24</v>
      </c>
      <c r="AC38" s="544">
        <f t="shared" si="29"/>
        <v>2</v>
      </c>
      <c r="AD38" s="194" t="s">
        <v>38</v>
      </c>
      <c r="AE38" s="545">
        <f>IFERROR(ROUNDDOWN(ROUND(L38*R38,0)*M38,0)*AC38,"")</f>
        <v>950626</v>
      </c>
      <c r="AF38" s="546">
        <f>IFERROR(ROUNDDOWN(ROUND(L38*(R38-P38),0)*M38,0)*AC38,"")</f>
        <v>950626</v>
      </c>
      <c r="AG38" s="547"/>
      <c r="AH38" s="457"/>
      <c r="AI38" s="465"/>
      <c r="AJ38" s="462" t="s">
        <v>2419</v>
      </c>
      <c r="AK38" s="463"/>
      <c r="AL38" s="443"/>
      <c r="AM38" s="444"/>
      <c r="AN38" s="548" t="str">
        <f t="shared" ref="AN38" si="35">IF(AP38="","",IF(R38&lt;P38,"！加算の要件上は問題ありませんが、令和６年３月と比較して４・５月に加算率が下がる計画になっています。",""))</f>
        <v/>
      </c>
      <c r="AP38" s="549" t="str">
        <f>IF(K38&lt;&gt;"","P列・R列に色付け","")</f>
        <v>P列・R列に色付け</v>
      </c>
      <c r="AQ38" s="550" t="str">
        <f>IFERROR(VLOOKUP(K38,【参考】数式用!$AJ$2:$AK$24,2,FALSE),"")</f>
        <v>地域密着型通所介護</v>
      </c>
      <c r="AR38" s="552" t="str">
        <f>Q38&amp;Q39&amp;Q40</f>
        <v>処遇加算Ⅲ特定加算なしベア加算</v>
      </c>
      <c r="AS38" s="550" t="str">
        <f t="shared" ref="AS38" si="36">IF(AG40&lt;&gt;0,IF(AH40="○","入力済","未入力"),"")</f>
        <v>入力済</v>
      </c>
      <c r="AT38" s="551" t="str">
        <f>IF(OR(Q38="処遇加算Ⅰ",Q38="処遇加算Ⅱ"),IF(OR(AI38="○",AI38="令和６年度中に満たす"),"入力済","未入力"),"")</f>
        <v/>
      </c>
      <c r="AU38" s="552" t="str">
        <f>IF(Q38="処遇加算Ⅲ",IF(AJ38="○","入力済","未入力"),"")</f>
        <v>入力済</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千葉県</v>
      </c>
    </row>
    <row r="39" spans="1:51" ht="32.15" customHeight="1">
      <c r="A39" s="1223"/>
      <c r="B39" s="1220"/>
      <c r="C39" s="1220"/>
      <c r="D39" s="1220"/>
      <c r="E39" s="1220"/>
      <c r="F39" s="1220"/>
      <c r="G39" s="1232"/>
      <c r="H39" s="1232"/>
      <c r="I39" s="1232"/>
      <c r="J39" s="1232"/>
      <c r="K39" s="1232"/>
      <c r="L39" s="1235"/>
      <c r="M39" s="1290"/>
      <c r="N39" s="553" t="s">
        <v>170</v>
      </c>
      <c r="O39" s="145" t="s">
        <v>212</v>
      </c>
      <c r="P39" s="554">
        <f>IFERROR(VLOOKUP(K38,【参考】数式用!$A$5:$J$27,MATCH(O39,【参考】数式用!$B$4:$J$4,0)+1,0),"")</f>
        <v>0</v>
      </c>
      <c r="Q39" s="145" t="s">
        <v>212</v>
      </c>
      <c r="R39" s="554">
        <f>IFERROR(VLOOKUP(K38,【参考】数式用!$A$5:$J$27,MATCH(Q39,【参考】数式用!$B$4:$J$4,0)+1,0),"")</f>
        <v>0</v>
      </c>
      <c r="S39" s="165" t="s">
        <v>19</v>
      </c>
      <c r="T39" s="555">
        <v>6</v>
      </c>
      <c r="U39" s="166" t="s">
        <v>10</v>
      </c>
      <c r="V39" s="102">
        <v>4</v>
      </c>
      <c r="W39" s="166" t="s">
        <v>45</v>
      </c>
      <c r="X39" s="555">
        <v>6</v>
      </c>
      <c r="Y39" s="166" t="s">
        <v>10</v>
      </c>
      <c r="Z39" s="102">
        <v>5</v>
      </c>
      <c r="AA39" s="166" t="s">
        <v>13</v>
      </c>
      <c r="AB39" s="556" t="s">
        <v>24</v>
      </c>
      <c r="AC39" s="557">
        <f t="shared" si="29"/>
        <v>2</v>
      </c>
      <c r="AD39" s="166" t="s">
        <v>38</v>
      </c>
      <c r="AE39" s="558">
        <f>IFERROR(ROUNDDOWN(ROUND(L38*R39,0)*M38,0)*AC39,"")</f>
        <v>0</v>
      </c>
      <c r="AF39" s="559">
        <f>IFERROR(ROUNDDOWN(ROUND(L38*(R39-P39),0)*M38,0)*AC39,"")</f>
        <v>0</v>
      </c>
      <c r="AG39" s="560"/>
      <c r="AH39" s="445"/>
      <c r="AI39" s="446"/>
      <c r="AJ39" s="447"/>
      <c r="AK39" s="448"/>
      <c r="AL39" s="449"/>
      <c r="AM39" s="450"/>
      <c r="AN39" s="561"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P列・R列に色付け</v>
      </c>
      <c r="AY39" s="535" t="str">
        <f>G38</f>
        <v>千葉県</v>
      </c>
    </row>
    <row r="40" spans="1:51" ht="32.15" customHeight="1" thickBot="1">
      <c r="A40" s="1237"/>
      <c r="B40" s="1240"/>
      <c r="C40" s="1240"/>
      <c r="D40" s="1240"/>
      <c r="E40" s="1240"/>
      <c r="F40" s="1240"/>
      <c r="G40" s="1242"/>
      <c r="H40" s="1242"/>
      <c r="I40" s="1242"/>
      <c r="J40" s="1242"/>
      <c r="K40" s="1242"/>
      <c r="L40" s="1295"/>
      <c r="M40" s="1296"/>
      <c r="N40" s="577" t="s">
        <v>140</v>
      </c>
      <c r="O40" s="148" t="s">
        <v>213</v>
      </c>
      <c r="P40" s="583">
        <f>IFERROR(VLOOKUP(K38,【参考】数式用!$A$5:$J$27,MATCH(O40,【参考】数式用!$B$4:$J$4,0)+1,0),"")</f>
        <v>0</v>
      </c>
      <c r="Q40" s="148" t="s">
        <v>184</v>
      </c>
      <c r="R40" s="583">
        <f>IFERROR(VLOOKUP(K38,【参考】数式用!$A$5:$J$27,MATCH(Q40,【参考】数式用!$B$4:$J$4,0)+1,0),"")</f>
        <v>1.0999999999999999E-2</v>
      </c>
      <c r="S40" s="584" t="s">
        <v>19</v>
      </c>
      <c r="T40" s="585">
        <v>6</v>
      </c>
      <c r="U40" s="203" t="s">
        <v>10</v>
      </c>
      <c r="V40" s="116">
        <v>4</v>
      </c>
      <c r="W40" s="203" t="s">
        <v>45</v>
      </c>
      <c r="X40" s="585">
        <v>6</v>
      </c>
      <c r="Y40" s="203" t="s">
        <v>10</v>
      </c>
      <c r="Z40" s="116">
        <v>5</v>
      </c>
      <c r="AA40" s="203" t="s">
        <v>13</v>
      </c>
      <c r="AB40" s="586" t="s">
        <v>24</v>
      </c>
      <c r="AC40" s="587">
        <f t="shared" si="29"/>
        <v>2</v>
      </c>
      <c r="AD40" s="203" t="s">
        <v>38</v>
      </c>
      <c r="AE40" s="588">
        <f>IFERROR(ROUNDDOWN(ROUND(L38*R40,0)*M38,0)*AC40,"")</f>
        <v>454646</v>
      </c>
      <c r="AF40" s="589">
        <f>IFERROR(ROUNDDOWN(ROUND(L38*(R40-P40),0)*M38,0)*AC40,"")</f>
        <v>454646</v>
      </c>
      <c r="AG40" s="572">
        <f t="shared" ref="AG40" si="38">IF(AND(O40="ベア加算なし",Q40="ベア加算"),AE40,0)</f>
        <v>454646</v>
      </c>
      <c r="AH40" s="467" t="s">
        <v>2419</v>
      </c>
      <c r="AI40" s="468"/>
      <c r="AJ40" s="469"/>
      <c r="AK40" s="470"/>
      <c r="AL40" s="471"/>
      <c r="AM40" s="472"/>
      <c r="AN40" s="573"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P列・R列に色付け</v>
      </c>
      <c r="AQ40" s="575"/>
      <c r="AR40" s="575"/>
      <c r="AX40" s="576"/>
      <c r="AY40" s="535" t="str">
        <f>G38</f>
        <v>千葉県</v>
      </c>
    </row>
    <row r="41" spans="1:51" ht="32.15" customHeight="1">
      <c r="A41" s="1222">
        <v>10</v>
      </c>
      <c r="B41" s="1219" t="str">
        <f>IF(基本情報入力シート!C63="","",基本情報入力シート!C63)</f>
        <v>2345678932</v>
      </c>
      <c r="C41" s="1219"/>
      <c r="D41" s="1219"/>
      <c r="E41" s="1219"/>
      <c r="F41" s="1219"/>
      <c r="G41" s="1231" t="str">
        <f>IF(基本情報入力シート!M63="","",基本情報入力シート!M63)</f>
        <v>東京都</v>
      </c>
      <c r="H41" s="1231" t="str">
        <f>IF(基本情報入力シート!R63="","",基本情報入力シート!R63)</f>
        <v>東京都</v>
      </c>
      <c r="I41" s="1231" t="str">
        <f>IF(基本情報入力シート!W63="","",基本情報入力シート!W63)</f>
        <v>千代田区</v>
      </c>
      <c r="J41" s="1231" t="str">
        <f>IF(基本情報入力シート!X63="","",基本情報入力シート!X63)</f>
        <v>○○の社</v>
      </c>
      <c r="K41" s="1231" t="str">
        <f>IF(基本情報入力シート!Y63="","",基本情報入力シート!Y63)</f>
        <v>通所介護</v>
      </c>
      <c r="L41" s="1234">
        <f>IF(基本情報入力シート!AB63="","",基本情報入力シート!AB63)</f>
        <v>1935000</v>
      </c>
      <c r="M41" s="1289">
        <f>IF(基本情報入力シート!AC63="","",基本情報入力シート!AC63)</f>
        <v>10.9</v>
      </c>
      <c r="N41" s="539" t="s">
        <v>183</v>
      </c>
      <c r="O41" s="144" t="s">
        <v>2206</v>
      </c>
      <c r="P41" s="540">
        <f>IFERROR(VLOOKUP(K41,【参考】数式用!$A$5:$J$27,MATCH(O41,【参考】数式用!$B$4:$J$4,0)+1,0),"")</f>
        <v>0</v>
      </c>
      <c r="Q41" s="144" t="s">
        <v>187</v>
      </c>
      <c r="R41" s="540">
        <f>IFERROR(VLOOKUP(K41,【参考】数式用!$A$5:$J$27,MATCH(Q41,【参考】数式用!$B$4:$J$4,0)+1,0),"")</f>
        <v>2.3E-2</v>
      </c>
      <c r="S41" s="541" t="s">
        <v>19</v>
      </c>
      <c r="T41" s="542">
        <v>6</v>
      </c>
      <c r="U41" s="194" t="s">
        <v>10</v>
      </c>
      <c r="V41" s="67">
        <v>4</v>
      </c>
      <c r="W41" s="194" t="s">
        <v>45</v>
      </c>
      <c r="X41" s="542">
        <v>6</v>
      </c>
      <c r="Y41" s="194" t="s">
        <v>10</v>
      </c>
      <c r="Z41" s="67">
        <v>5</v>
      </c>
      <c r="AA41" s="194" t="s">
        <v>13</v>
      </c>
      <c r="AB41" s="543" t="s">
        <v>24</v>
      </c>
      <c r="AC41" s="544">
        <f t="shared" si="29"/>
        <v>2</v>
      </c>
      <c r="AD41" s="194" t="s">
        <v>38</v>
      </c>
      <c r="AE41" s="545">
        <f>IFERROR(ROUNDDOWN(ROUND(L41*R41,0)*M41,0)*AC41,"")</f>
        <v>970208</v>
      </c>
      <c r="AF41" s="546">
        <f>IFERROR(ROUNDDOWN(ROUND(L41*(R41-P41),0)*M41,0)*AC41,"")</f>
        <v>970208</v>
      </c>
      <c r="AG41" s="547"/>
      <c r="AH41" s="457"/>
      <c r="AI41" s="465"/>
      <c r="AJ41" s="462" t="s">
        <v>2419</v>
      </c>
      <c r="AK41" s="463"/>
      <c r="AL41" s="443"/>
      <c r="AM41" s="444"/>
      <c r="AN41" s="548" t="str">
        <f t="shared" ref="AN41" si="40">IF(AP41="","",IF(R41&lt;P41,"！加算の要件上は問題ありませんが、令和６年３月と比較して４・５月に加算率が下がる計画になっています。",""))</f>
        <v/>
      </c>
      <c r="AP41" s="549" t="str">
        <f>IF(K41&lt;&gt;"","P列・R列に色付け","")</f>
        <v>P列・R列に色付け</v>
      </c>
      <c r="AQ41" s="550" t="str">
        <f>IFERROR(VLOOKUP(K41,【参考】数式用!$AJ$2:$AK$24,2,FALSE),"")</f>
        <v>通所介護</v>
      </c>
      <c r="AR41" s="552" t="str">
        <f>Q41&amp;Q42&amp;Q43</f>
        <v>処遇加算Ⅲ特定加算なしベア加算なし</v>
      </c>
      <c r="AS41" s="550" t="str">
        <f t="shared" ref="AS41" si="41">IF(AG43&lt;&gt;0,IF(AH43="○","入力済","未入力"),"")</f>
        <v/>
      </c>
      <c r="AT41" s="551" t="str">
        <f>IF(OR(Q41="処遇加算Ⅰ",Q41="処遇加算Ⅱ"),IF(OR(AI41="○",AI41="令和６年度中に満たす"),"入力済","未入力"),"")</f>
        <v/>
      </c>
      <c r="AU41" s="552" t="str">
        <f>IF(Q41="処遇加算Ⅲ",IF(AJ41="○","入力済","未入力"),"")</f>
        <v>入力済</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東京都</v>
      </c>
    </row>
    <row r="42" spans="1:51" ht="32.15" customHeight="1">
      <c r="A42" s="1223"/>
      <c r="B42" s="1220"/>
      <c r="C42" s="1220"/>
      <c r="D42" s="1220"/>
      <c r="E42" s="1220"/>
      <c r="F42" s="1220"/>
      <c r="G42" s="1232"/>
      <c r="H42" s="1232"/>
      <c r="I42" s="1232"/>
      <c r="J42" s="1232"/>
      <c r="K42" s="1232"/>
      <c r="L42" s="1235"/>
      <c r="M42" s="1290"/>
      <c r="N42" s="553" t="s">
        <v>170</v>
      </c>
      <c r="O42" s="145" t="s">
        <v>212</v>
      </c>
      <c r="P42" s="554">
        <f>IFERROR(VLOOKUP(K41,【参考】数式用!$A$5:$J$27,MATCH(O42,【参考】数式用!$B$4:$J$4,0)+1,0),"")</f>
        <v>0</v>
      </c>
      <c r="Q42" s="145" t="s">
        <v>212</v>
      </c>
      <c r="R42" s="554">
        <f>IFERROR(VLOOKUP(K41,【参考】数式用!$A$5:$J$27,MATCH(Q42,【参考】数式用!$B$4:$J$4,0)+1,0),"")</f>
        <v>0</v>
      </c>
      <c r="S42" s="165" t="s">
        <v>19</v>
      </c>
      <c r="T42" s="555">
        <v>6</v>
      </c>
      <c r="U42" s="166" t="s">
        <v>10</v>
      </c>
      <c r="V42" s="102">
        <v>4</v>
      </c>
      <c r="W42" s="166" t="s">
        <v>45</v>
      </c>
      <c r="X42" s="555">
        <v>6</v>
      </c>
      <c r="Y42" s="166" t="s">
        <v>10</v>
      </c>
      <c r="Z42" s="102">
        <v>5</v>
      </c>
      <c r="AA42" s="166" t="s">
        <v>13</v>
      </c>
      <c r="AB42" s="556" t="s">
        <v>24</v>
      </c>
      <c r="AC42" s="557">
        <f t="shared" si="29"/>
        <v>2</v>
      </c>
      <c r="AD42" s="166" t="s">
        <v>38</v>
      </c>
      <c r="AE42" s="558">
        <f>IFERROR(ROUNDDOWN(ROUND(L41*R42,0)*M41,0)*AC42,"")</f>
        <v>0</v>
      </c>
      <c r="AF42" s="559">
        <f>IFERROR(ROUNDDOWN(ROUND(L41*(R42-P42),0)*M41,0)*AC42,"")</f>
        <v>0</v>
      </c>
      <c r="AG42" s="560"/>
      <c r="AH42" s="445"/>
      <c r="AI42" s="446"/>
      <c r="AJ42" s="447"/>
      <c r="AK42" s="448"/>
      <c r="AL42" s="449"/>
      <c r="AM42" s="450"/>
      <c r="AN42" s="561"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P列・R列に色付け</v>
      </c>
      <c r="AY42" s="535" t="str">
        <f>G41</f>
        <v>東京都</v>
      </c>
    </row>
    <row r="43" spans="1:51" ht="32.15" customHeight="1" thickBot="1">
      <c r="A43" s="1224"/>
      <c r="B43" s="1221"/>
      <c r="C43" s="1221"/>
      <c r="D43" s="1221"/>
      <c r="E43" s="1221"/>
      <c r="F43" s="1221"/>
      <c r="G43" s="1233"/>
      <c r="H43" s="1233"/>
      <c r="I43" s="1233"/>
      <c r="J43" s="1233"/>
      <c r="K43" s="1233"/>
      <c r="L43" s="1236"/>
      <c r="M43" s="1291"/>
      <c r="N43" s="563" t="s">
        <v>140</v>
      </c>
      <c r="O43" s="148" t="s">
        <v>213</v>
      </c>
      <c r="P43" s="564">
        <f>IFERROR(VLOOKUP(K41,【参考】数式用!$A$5:$J$27,MATCH(O43,【参考】数式用!$B$4:$J$4,0)+1,0),"")</f>
        <v>0</v>
      </c>
      <c r="Q43" s="146" t="s">
        <v>213</v>
      </c>
      <c r="R43" s="564">
        <f>IFERROR(VLOOKUP(K41,【参考】数式用!$A$5:$J$27,MATCH(Q43,【参考】数式用!$B$4:$J$4,0)+1,0),"")</f>
        <v>0</v>
      </c>
      <c r="S43" s="565" t="s">
        <v>19</v>
      </c>
      <c r="T43" s="566">
        <v>6</v>
      </c>
      <c r="U43" s="567" t="s">
        <v>10</v>
      </c>
      <c r="V43" s="103">
        <v>4</v>
      </c>
      <c r="W43" s="567" t="s">
        <v>45</v>
      </c>
      <c r="X43" s="566">
        <v>6</v>
      </c>
      <c r="Y43" s="567" t="s">
        <v>10</v>
      </c>
      <c r="Z43" s="103">
        <v>5</v>
      </c>
      <c r="AA43" s="567" t="s">
        <v>13</v>
      </c>
      <c r="AB43" s="568" t="s">
        <v>24</v>
      </c>
      <c r="AC43" s="569">
        <f t="shared" si="29"/>
        <v>2</v>
      </c>
      <c r="AD43" s="567" t="s">
        <v>38</v>
      </c>
      <c r="AE43" s="570">
        <f>IFERROR(ROUNDDOWN(ROUND(L41*R43,0)*M41,0)*AC43,"")</f>
        <v>0</v>
      </c>
      <c r="AF43" s="571">
        <f>IFERROR(ROUNDDOWN(ROUND(L41*(R43-P43),0)*M41,0)*AC43,"")</f>
        <v>0</v>
      </c>
      <c r="AG43" s="572">
        <f t="shared" ref="AG43" si="43">IF(AND(O43="ベア加算なし",Q43="ベア加算"),AE43,0)</f>
        <v>0</v>
      </c>
      <c r="AH43" s="451"/>
      <c r="AI43" s="452"/>
      <c r="AJ43" s="453"/>
      <c r="AK43" s="454"/>
      <c r="AL43" s="455"/>
      <c r="AM43" s="456"/>
      <c r="AN43" s="573"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P列・R列に色付け</v>
      </c>
      <c r="AQ43" s="575"/>
      <c r="AR43" s="575"/>
      <c r="AX43" s="576"/>
      <c r="AY43" s="535" t="str">
        <f>G41</f>
        <v>東京都</v>
      </c>
    </row>
    <row r="44" spans="1:51" ht="32.15" customHeight="1">
      <c r="A44" s="1238">
        <v>11</v>
      </c>
      <c r="B44" s="1239" t="str">
        <f>IF(基本情報入力シート!C64="","",基本情報入力シート!C64)</f>
        <v>1234567846</v>
      </c>
      <c r="C44" s="1239"/>
      <c r="D44" s="1239"/>
      <c r="E44" s="1239"/>
      <c r="F44" s="1239"/>
      <c r="G44" s="1241" t="str">
        <f>IF(基本情報入力シート!M64="","",基本情報入力シート!M64)</f>
        <v>千葉県</v>
      </c>
      <c r="H44" s="1241" t="str">
        <f>IF(基本情報入力シート!R64="","",基本情報入力シート!R64)</f>
        <v>千葉県</v>
      </c>
      <c r="I44" s="1241" t="str">
        <f>IF(基本情報入力シート!W64="","",基本情報入力シート!W64)</f>
        <v>千葉市</v>
      </c>
      <c r="J44" s="1241" t="str">
        <f>IF(基本情報入力シート!X64="","",基本情報入力シート!X64)</f>
        <v>○○センター</v>
      </c>
      <c r="K44" s="1241" t="str">
        <f>IF(基本情報入力シート!Y64="","",基本情報入力シート!Y64)</f>
        <v>看護小規模多機能型居宅介護</v>
      </c>
      <c r="L44" s="1293">
        <f>IF(基本情報入力シート!AB64="","",基本情報入力シート!AB64)</f>
        <v>1920000</v>
      </c>
      <c r="M44" s="1294">
        <f>IF(基本情報入力シート!AC64="","",基本情報入力シート!AC64)</f>
        <v>10.83</v>
      </c>
      <c r="N44" s="577" t="s">
        <v>183</v>
      </c>
      <c r="O44" s="144" t="s">
        <v>2206</v>
      </c>
      <c r="P44" s="554">
        <f>IFERROR(VLOOKUP(K44,【参考】数式用!$A$5:$J$27,MATCH(O44,【参考】数式用!$B$4:$J$4,0)+1,0),"")</f>
        <v>0</v>
      </c>
      <c r="Q44" s="147" t="s">
        <v>187</v>
      </c>
      <c r="R44" s="554">
        <f>IFERROR(VLOOKUP(K44,【参考】数式用!$A$5:$J$27,MATCH(Q44,【参考】数式用!$B$4:$J$4,0)+1,0),"")</f>
        <v>4.1000000000000002E-2</v>
      </c>
      <c r="S44" s="578" t="s">
        <v>19</v>
      </c>
      <c r="T44" s="579">
        <v>6</v>
      </c>
      <c r="U44" s="200" t="s">
        <v>10</v>
      </c>
      <c r="V44" s="115">
        <v>4</v>
      </c>
      <c r="W44" s="200" t="s">
        <v>45</v>
      </c>
      <c r="X44" s="579">
        <v>6</v>
      </c>
      <c r="Y44" s="200" t="s">
        <v>10</v>
      </c>
      <c r="Z44" s="115">
        <v>5</v>
      </c>
      <c r="AA44" s="200" t="s">
        <v>13</v>
      </c>
      <c r="AB44" s="580" t="s">
        <v>24</v>
      </c>
      <c r="AC44" s="581">
        <f t="shared" si="29"/>
        <v>2</v>
      </c>
      <c r="AD44" s="200" t="s">
        <v>38</v>
      </c>
      <c r="AE44" s="558">
        <f>IFERROR(ROUNDDOWN(ROUND(L44*R44,0)*M44,0)*AC44,"")</f>
        <v>1705074</v>
      </c>
      <c r="AF44" s="559">
        <f>IFERROR(ROUNDDOWN(ROUND(L44*(R44-P44),0)*M44,0)*AC44,"")</f>
        <v>1705074</v>
      </c>
      <c r="AG44" s="547"/>
      <c r="AH44" s="473"/>
      <c r="AI44" s="474"/>
      <c r="AJ44" s="459" t="s">
        <v>2419</v>
      </c>
      <c r="AK44" s="475"/>
      <c r="AL44" s="476"/>
      <c r="AM44" s="461"/>
      <c r="AN44" s="548" t="str">
        <f t="shared" ref="AN44" si="45">IF(AP44="","",IF(R44&lt;P44,"！加算の要件上は問題ありませんが、令和６年３月と比較して４・５月に加算率が下がる計画になっています。",""))</f>
        <v/>
      </c>
      <c r="AP44" s="549" t="str">
        <f>IF(K44&lt;&gt;"","P列・R列に色付け","")</f>
        <v>P列・R列に色付け</v>
      </c>
      <c r="AQ44" s="550" t="str">
        <f>IFERROR(VLOOKUP(K44,【参考】数式用!$AJ$2:$AK$24,2,FALSE),"")</f>
        <v>看護小規模多機能型居宅介護</v>
      </c>
      <c r="AR44" s="552" t="str">
        <f>Q44&amp;Q45&amp;Q46</f>
        <v>処遇加算Ⅲ特定加算Ⅱベア加算なし</v>
      </c>
      <c r="AS44" s="550" t="str">
        <f t="shared" ref="AS44" si="46">IF(AG46&lt;&gt;0,IF(AH46="○","入力済","未入力"),"")</f>
        <v/>
      </c>
      <c r="AT44" s="551" t="str">
        <f>IF(OR(Q44="処遇加算Ⅰ",Q44="処遇加算Ⅱ"),IF(OR(AI44="○",AI44="令和６年度中に満たす"),"入力済","未入力"),"")</f>
        <v/>
      </c>
      <c r="AU44" s="552" t="str">
        <f>IF(Q44="処遇加算Ⅲ",IF(AJ44="○","入力済","未入力"),"")</f>
        <v>入力済</v>
      </c>
      <c r="AV44" s="550" t="str">
        <f>IF(Q44="処遇加算Ⅰ",IF(OR(AK44="○",AK44="令和６年度中に満たす"),"入力済","未入力"),"")</f>
        <v/>
      </c>
      <c r="AW44" s="550">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5" t="str">
        <f>IF(Q45="特定加算Ⅰ",IF(AM45="","未入力","入力済"),"")</f>
        <v/>
      </c>
      <c r="AY44" s="535" t="str">
        <f>G44</f>
        <v>千葉県</v>
      </c>
    </row>
    <row r="45" spans="1:51" ht="32.15" customHeight="1">
      <c r="A45" s="1223"/>
      <c r="B45" s="1220"/>
      <c r="C45" s="1220"/>
      <c r="D45" s="1220"/>
      <c r="E45" s="1220"/>
      <c r="F45" s="1220"/>
      <c r="G45" s="1232"/>
      <c r="H45" s="1232"/>
      <c r="I45" s="1232"/>
      <c r="J45" s="1232"/>
      <c r="K45" s="1232"/>
      <c r="L45" s="1235"/>
      <c r="M45" s="1290"/>
      <c r="N45" s="553" t="s">
        <v>170</v>
      </c>
      <c r="O45" s="145" t="s">
        <v>212</v>
      </c>
      <c r="P45" s="554">
        <f>IFERROR(VLOOKUP(K44,【参考】数式用!$A$5:$J$27,MATCH(O45,【参考】数式用!$B$4:$J$4,0)+1,0),"")</f>
        <v>0</v>
      </c>
      <c r="Q45" s="145" t="s">
        <v>21</v>
      </c>
      <c r="R45" s="554">
        <f>IFERROR(VLOOKUP(K44,【参考】数式用!$A$5:$J$27,MATCH(Q45,【参考】数式用!$B$4:$J$4,0)+1,0),"")</f>
        <v>1.2E-2</v>
      </c>
      <c r="S45" s="165" t="s">
        <v>19</v>
      </c>
      <c r="T45" s="555">
        <v>6</v>
      </c>
      <c r="U45" s="166" t="s">
        <v>10</v>
      </c>
      <c r="V45" s="102">
        <v>4</v>
      </c>
      <c r="W45" s="166" t="s">
        <v>45</v>
      </c>
      <c r="X45" s="555">
        <v>6</v>
      </c>
      <c r="Y45" s="166" t="s">
        <v>10</v>
      </c>
      <c r="Z45" s="102">
        <v>5</v>
      </c>
      <c r="AA45" s="166" t="s">
        <v>13</v>
      </c>
      <c r="AB45" s="556" t="s">
        <v>24</v>
      </c>
      <c r="AC45" s="557">
        <f t="shared" si="29"/>
        <v>2</v>
      </c>
      <c r="AD45" s="166" t="s">
        <v>38</v>
      </c>
      <c r="AE45" s="558">
        <f>IFERROR(ROUNDDOWN(ROUND(L44*R45,0)*M44,0)*AC45,"")</f>
        <v>499046</v>
      </c>
      <c r="AF45" s="559">
        <f>IFERROR(ROUNDDOWN(ROUND(L44*(R45-P45),0)*M44,0)*AC45,"")</f>
        <v>499046</v>
      </c>
      <c r="AG45" s="560"/>
      <c r="AH45" s="445"/>
      <c r="AI45" s="446"/>
      <c r="AJ45" s="447"/>
      <c r="AK45" s="448"/>
      <c r="AL45" s="449">
        <v>1</v>
      </c>
      <c r="AM45" s="450"/>
      <c r="AN45" s="561"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P列・R列に色付け</v>
      </c>
      <c r="AY45" s="535" t="str">
        <f>G44</f>
        <v>千葉県</v>
      </c>
    </row>
    <row r="46" spans="1:51" ht="32.15" customHeight="1" thickBot="1">
      <c r="A46" s="1224"/>
      <c r="B46" s="1221"/>
      <c r="C46" s="1221"/>
      <c r="D46" s="1221"/>
      <c r="E46" s="1221"/>
      <c r="F46" s="1221"/>
      <c r="G46" s="1233"/>
      <c r="H46" s="1233"/>
      <c r="I46" s="1233"/>
      <c r="J46" s="1233"/>
      <c r="K46" s="1233"/>
      <c r="L46" s="1236"/>
      <c r="M46" s="1291"/>
      <c r="N46" s="563" t="s">
        <v>140</v>
      </c>
      <c r="O46" s="148" t="s">
        <v>213</v>
      </c>
      <c r="P46" s="583">
        <f>IFERROR(VLOOKUP(K44,【参考】数式用!$A$5:$J$27,MATCH(O46,【参考】数式用!$B$4:$J$4,0)+1,0),"")</f>
        <v>0</v>
      </c>
      <c r="Q46" s="146" t="s">
        <v>213</v>
      </c>
      <c r="R46" s="564">
        <f>IFERROR(VLOOKUP(K44,【参考】数式用!$A$5:$J$27,MATCH(Q46,【参考】数式用!$B$4:$J$4,0)+1,0),"")</f>
        <v>0</v>
      </c>
      <c r="S46" s="565" t="s">
        <v>19</v>
      </c>
      <c r="T46" s="566">
        <v>6</v>
      </c>
      <c r="U46" s="567" t="s">
        <v>10</v>
      </c>
      <c r="V46" s="103">
        <v>4</v>
      </c>
      <c r="W46" s="567" t="s">
        <v>45</v>
      </c>
      <c r="X46" s="566">
        <v>6</v>
      </c>
      <c r="Y46" s="567" t="s">
        <v>10</v>
      </c>
      <c r="Z46" s="103">
        <v>5</v>
      </c>
      <c r="AA46" s="567" t="s">
        <v>13</v>
      </c>
      <c r="AB46" s="568" t="s">
        <v>24</v>
      </c>
      <c r="AC46" s="569">
        <f t="shared" si="29"/>
        <v>2</v>
      </c>
      <c r="AD46" s="567" t="s">
        <v>38</v>
      </c>
      <c r="AE46" s="582">
        <f>IFERROR(ROUNDDOWN(ROUND(L44*R46,0)*M44,0)*AC46,"")</f>
        <v>0</v>
      </c>
      <c r="AF46" s="571">
        <f>IFERROR(ROUNDDOWN(ROUND(L44*(R46-P46),0)*M44,0)*AC46,"")</f>
        <v>0</v>
      </c>
      <c r="AG46" s="572">
        <f t="shared" ref="AG46" si="48">IF(AND(O46="ベア加算なし",Q46="ベア加算"),AE46,0)</f>
        <v>0</v>
      </c>
      <c r="AH46" s="451"/>
      <c r="AI46" s="452"/>
      <c r="AJ46" s="453"/>
      <c r="AK46" s="454"/>
      <c r="AL46" s="455"/>
      <c r="AM46" s="456"/>
      <c r="AN46" s="573"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P列・R列に色付け</v>
      </c>
      <c r="AQ46" s="575"/>
      <c r="AR46" s="575"/>
      <c r="AX46" s="576"/>
      <c r="AY46" s="535" t="str">
        <f>G44</f>
        <v>千葉県</v>
      </c>
    </row>
    <row r="47" spans="1:51" ht="32.15" customHeight="1">
      <c r="A47" s="1222">
        <v>12</v>
      </c>
      <c r="B47" s="1219" t="str">
        <f>IF(基本情報入力シート!C65="","",基本情報入力シート!C65)</f>
        <v>2345678975</v>
      </c>
      <c r="C47" s="1219"/>
      <c r="D47" s="1219"/>
      <c r="E47" s="1219"/>
      <c r="F47" s="1219"/>
      <c r="G47" s="1231" t="str">
        <f>IF(基本情報入力シート!M65="","",基本情報入力シート!M65)</f>
        <v>東京都</v>
      </c>
      <c r="H47" s="1231" t="str">
        <f>IF(基本情報入力シート!R65="","",基本情報入力シート!R65)</f>
        <v>東京都</v>
      </c>
      <c r="I47" s="1231" t="str">
        <f>IF(基本情報入力シート!W65="","",基本情報入力シート!W65)</f>
        <v>千代田区</v>
      </c>
      <c r="J47" s="1231" t="str">
        <f>IF(基本情報入力シート!X65="","",基本情報入力シート!X65)</f>
        <v>○○の社</v>
      </c>
      <c r="K47" s="1231" t="str">
        <f>IF(基本情報入力シート!Y65="","",基本情報入力シート!Y65)</f>
        <v>介護医療院</v>
      </c>
      <c r="L47" s="1234">
        <f>IF(基本情報入力シート!AB65="","",基本情報入力シート!AB65)</f>
        <v>1800000</v>
      </c>
      <c r="M47" s="1289">
        <f>IF(基本情報入力シート!AC65="","",基本情報入力シート!AC65)</f>
        <v>10.9</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0">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1">IF(AP47="","",IF(R47&lt;P47,"！加算の要件上は問題ありませんが、令和６年３月と比較して４・５月に加算率が下がる計画になっています。",""))</f>
        <v/>
      </c>
      <c r="AP47" s="549" t="str">
        <f>IF(K47&lt;&gt;"","P列・R列に色付け","")</f>
        <v>P列・R列に色付け</v>
      </c>
      <c r="AQ47" s="550" t="str">
        <f>IFERROR(VLOOKUP(K47,【参考】数式用!$AJ$2:$AK$24,2,FALSE),"")</f>
        <v>介護医療院</v>
      </c>
      <c r="AR47" s="552" t="str">
        <f>Q47&amp;Q48&amp;Q49</f>
        <v/>
      </c>
      <c r="AS47" s="550" t="str">
        <f t="shared" ref="AS47" si="52">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東京都</v>
      </c>
    </row>
    <row r="48" spans="1:51" ht="32.15" customHeight="1">
      <c r="A48" s="1223"/>
      <c r="B48" s="1220"/>
      <c r="C48" s="1220"/>
      <c r="D48" s="1220"/>
      <c r="E48" s="1220"/>
      <c r="F48" s="1220"/>
      <c r="G48" s="1232"/>
      <c r="H48" s="1232"/>
      <c r="I48" s="1232"/>
      <c r="J48" s="1232"/>
      <c r="K48" s="1232"/>
      <c r="L48" s="1235"/>
      <c r="M48" s="1290"/>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0"/>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P列・R列に色付け</v>
      </c>
      <c r="AY48" s="535" t="str">
        <f>G47</f>
        <v>東京都</v>
      </c>
    </row>
    <row r="49" spans="1:51" ht="32.15" customHeight="1" thickBot="1">
      <c r="A49" s="1224"/>
      <c r="B49" s="1221"/>
      <c r="C49" s="1221"/>
      <c r="D49" s="1221"/>
      <c r="E49" s="1221"/>
      <c r="F49" s="1221"/>
      <c r="G49" s="1233"/>
      <c r="H49" s="1233"/>
      <c r="I49" s="1233"/>
      <c r="J49" s="1233"/>
      <c r="K49" s="1233"/>
      <c r="L49" s="1236"/>
      <c r="M49" s="1291"/>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0"/>
        <v>2</v>
      </c>
      <c r="AD49" s="567" t="s">
        <v>38</v>
      </c>
      <c r="AE49" s="582" t="str">
        <f>IFERROR(ROUNDDOWN(ROUND(L47*R49,0)*M47,0)*AC49,"")</f>
        <v/>
      </c>
      <c r="AF49" s="571" t="str">
        <f>IFERROR(ROUNDDOWN(ROUND(L47*(R49-P49),0)*M47,0)*AC49,"")</f>
        <v/>
      </c>
      <c r="AG49" s="572">
        <f t="shared" ref="AG49" si="54">IF(AND(O49="ベア加算なし",Q49="ベア加算"),AE49,0)</f>
        <v>0</v>
      </c>
      <c r="AH49" s="451"/>
      <c r="AI49" s="452"/>
      <c r="AJ49" s="453"/>
      <c r="AK49" s="454"/>
      <c r="AL49" s="455"/>
      <c r="AM49" s="456"/>
      <c r="AN49" s="573"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4" t="str">
        <f>IF(K47&lt;&gt;"","P列・R列に色付け","")</f>
        <v>P列・R列に色付け</v>
      </c>
      <c r="AQ49" s="575"/>
      <c r="AR49" s="575"/>
      <c r="AX49" s="576"/>
      <c r="AY49" s="535" t="str">
        <f>G47</f>
        <v>東京都</v>
      </c>
    </row>
    <row r="50" spans="1:51" ht="32.15"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0"/>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6">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7">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5" customHeight="1">
      <c r="A51" s="1223"/>
      <c r="B51" s="1220"/>
      <c r="C51" s="1220"/>
      <c r="D51" s="1220"/>
      <c r="E51" s="1220"/>
      <c r="F51" s="1220"/>
      <c r="G51" s="1232"/>
      <c r="H51" s="1232"/>
      <c r="I51" s="1232"/>
      <c r="J51" s="1232"/>
      <c r="K51" s="1232"/>
      <c r="L51" s="1235"/>
      <c r="M51" s="1290"/>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0"/>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5" customHeight="1" thickBot="1">
      <c r="A52" s="1224"/>
      <c r="B52" s="1221"/>
      <c r="C52" s="1221"/>
      <c r="D52" s="1221"/>
      <c r="E52" s="1221"/>
      <c r="F52" s="1221"/>
      <c r="G52" s="1233"/>
      <c r="H52" s="1233"/>
      <c r="I52" s="1233"/>
      <c r="J52" s="1233"/>
      <c r="K52" s="1233"/>
      <c r="L52" s="1236"/>
      <c r="M52" s="1291"/>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0"/>
        <v>2</v>
      </c>
      <c r="AD52" s="567" t="s">
        <v>38</v>
      </c>
      <c r="AE52" s="582" t="str">
        <f>IFERROR(ROUNDDOWN(ROUND(L50*R52,0)*M50,0)*AC52,"")</f>
        <v/>
      </c>
      <c r="AF52" s="571" t="str">
        <f>IFERROR(ROUNDDOWN(ROUND(L50*(R52-P52),0)*M50,0)*AC52,"")</f>
        <v/>
      </c>
      <c r="AG52" s="572">
        <f t="shared" ref="AG52" si="59">IF(AND(O52="ベア加算なし",Q52="ベア加算"),AE52,0)</f>
        <v>0</v>
      </c>
      <c r="AH52" s="451"/>
      <c r="AI52" s="452"/>
      <c r="AJ52" s="453"/>
      <c r="AK52" s="454"/>
      <c r="AL52" s="455"/>
      <c r="AM52" s="456"/>
      <c r="AN52" s="573"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5"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0"/>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1">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2">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5" customHeight="1">
      <c r="A54" s="1223"/>
      <c r="B54" s="1220"/>
      <c r="C54" s="1220"/>
      <c r="D54" s="1220"/>
      <c r="E54" s="1220"/>
      <c r="F54" s="1220"/>
      <c r="G54" s="1232"/>
      <c r="H54" s="1232"/>
      <c r="I54" s="1232"/>
      <c r="J54" s="1232"/>
      <c r="K54" s="1232"/>
      <c r="L54" s="1235"/>
      <c r="M54" s="1290"/>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0"/>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5" customHeight="1" thickBot="1">
      <c r="A55" s="1224"/>
      <c r="B55" s="1221"/>
      <c r="C55" s="1221"/>
      <c r="D55" s="1221"/>
      <c r="E55" s="1221"/>
      <c r="F55" s="1221"/>
      <c r="G55" s="1233"/>
      <c r="H55" s="1233"/>
      <c r="I55" s="1233"/>
      <c r="J55" s="1233"/>
      <c r="K55" s="1233"/>
      <c r="L55" s="1236"/>
      <c r="M55" s="1291"/>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0"/>
        <v>2</v>
      </c>
      <c r="AD55" s="567" t="s">
        <v>38</v>
      </c>
      <c r="AE55" s="582" t="str">
        <f>IFERROR(ROUNDDOWN(ROUND(L53*R55,0)*M53,0)*AC55,"")</f>
        <v/>
      </c>
      <c r="AF55" s="571" t="str">
        <f>IFERROR(ROUNDDOWN(ROUND(L53*(R55-P55),0)*M53,0)*AC55,"")</f>
        <v/>
      </c>
      <c r="AG55" s="572">
        <f t="shared" ref="AG55:AG118" si="64">IF(AND(O55="ベア加算なし",Q55="ベア加算"),AE55,0)</f>
        <v>0</v>
      </c>
      <c r="AH55" s="451"/>
      <c r="AI55" s="452"/>
      <c r="AJ55" s="453"/>
      <c r="AK55" s="454"/>
      <c r="AL55" s="455"/>
      <c r="AM55" s="456"/>
      <c r="AN55" s="573"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5"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0"/>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6">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7">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5" customHeight="1">
      <c r="A57" s="1223"/>
      <c r="B57" s="1220"/>
      <c r="C57" s="1220"/>
      <c r="D57" s="1220"/>
      <c r="E57" s="1220"/>
      <c r="F57" s="1220"/>
      <c r="G57" s="1232"/>
      <c r="H57" s="1232"/>
      <c r="I57" s="1232"/>
      <c r="J57" s="1232"/>
      <c r="K57" s="1232"/>
      <c r="L57" s="1235"/>
      <c r="M57" s="1290"/>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0"/>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5" customHeight="1" thickBot="1">
      <c r="A58" s="1224"/>
      <c r="B58" s="1221"/>
      <c r="C58" s="1221"/>
      <c r="D58" s="1221"/>
      <c r="E58" s="1221"/>
      <c r="F58" s="1221"/>
      <c r="G58" s="1233"/>
      <c r="H58" s="1233"/>
      <c r="I58" s="1233"/>
      <c r="J58" s="1233"/>
      <c r="K58" s="1233"/>
      <c r="L58" s="1236"/>
      <c r="M58" s="1291"/>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0"/>
        <v>2</v>
      </c>
      <c r="AD58" s="567" t="s">
        <v>38</v>
      </c>
      <c r="AE58" s="582" t="str">
        <f>IFERROR(ROUNDDOWN(ROUND(L56*R58,0)*M56,0)*AC58,"")</f>
        <v/>
      </c>
      <c r="AF58" s="571" t="str">
        <f>IFERROR(ROUNDDOWN(ROUND(L56*(R58-P58),0)*M56,0)*AC58,"")</f>
        <v/>
      </c>
      <c r="AG58" s="572">
        <f t="shared" si="64"/>
        <v>0</v>
      </c>
      <c r="AH58" s="451"/>
      <c r="AI58" s="452"/>
      <c r="AJ58" s="453"/>
      <c r="AK58" s="454"/>
      <c r="AL58" s="455"/>
      <c r="AM58" s="456"/>
      <c r="AN58" s="573"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5"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0"/>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0">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1">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5" customHeight="1">
      <c r="A60" s="1223"/>
      <c r="B60" s="1220"/>
      <c r="C60" s="1220"/>
      <c r="D60" s="1220"/>
      <c r="E60" s="1220"/>
      <c r="F60" s="1220"/>
      <c r="G60" s="1232"/>
      <c r="H60" s="1232"/>
      <c r="I60" s="1232"/>
      <c r="J60" s="1232"/>
      <c r="K60" s="1232"/>
      <c r="L60" s="1235"/>
      <c r="M60" s="1290"/>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0"/>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5" customHeight="1" thickBot="1">
      <c r="A61" s="1224"/>
      <c r="B61" s="1221"/>
      <c r="C61" s="1221"/>
      <c r="D61" s="1221"/>
      <c r="E61" s="1221"/>
      <c r="F61" s="1221"/>
      <c r="G61" s="1233"/>
      <c r="H61" s="1233"/>
      <c r="I61" s="1233"/>
      <c r="J61" s="1233"/>
      <c r="K61" s="1233"/>
      <c r="L61" s="1236"/>
      <c r="M61" s="1291"/>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0"/>
        <v>2</v>
      </c>
      <c r="AD61" s="567" t="s">
        <v>38</v>
      </c>
      <c r="AE61" s="582" t="str">
        <f>IFERROR(ROUNDDOWN(ROUND(L59*R61,0)*M59,0)*AC61,"")</f>
        <v/>
      </c>
      <c r="AF61" s="571" t="str">
        <f>IFERROR(ROUNDDOWN(ROUND(L59*(R61-P61),0)*M59,0)*AC61,"")</f>
        <v/>
      </c>
      <c r="AG61" s="572">
        <f t="shared" si="64"/>
        <v>0</v>
      </c>
      <c r="AH61" s="451"/>
      <c r="AI61" s="452"/>
      <c r="AJ61" s="453"/>
      <c r="AK61" s="454"/>
      <c r="AL61" s="455"/>
      <c r="AM61" s="456"/>
      <c r="AN61" s="573"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5"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0"/>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4">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5">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5" customHeight="1">
      <c r="A63" s="1223"/>
      <c r="B63" s="1220"/>
      <c r="C63" s="1220"/>
      <c r="D63" s="1220"/>
      <c r="E63" s="1220"/>
      <c r="F63" s="1220"/>
      <c r="G63" s="1232"/>
      <c r="H63" s="1232"/>
      <c r="I63" s="1232"/>
      <c r="J63" s="1232"/>
      <c r="K63" s="1232"/>
      <c r="L63" s="1235"/>
      <c r="M63" s="1290"/>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0"/>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5" customHeight="1" thickBot="1">
      <c r="A64" s="1224"/>
      <c r="B64" s="1221"/>
      <c r="C64" s="1221"/>
      <c r="D64" s="1221"/>
      <c r="E64" s="1221"/>
      <c r="F64" s="1221"/>
      <c r="G64" s="1233"/>
      <c r="H64" s="1233"/>
      <c r="I64" s="1233"/>
      <c r="J64" s="1233"/>
      <c r="K64" s="1233"/>
      <c r="L64" s="1236"/>
      <c r="M64" s="1291"/>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0"/>
        <v>2</v>
      </c>
      <c r="AD64" s="567" t="s">
        <v>38</v>
      </c>
      <c r="AE64" s="582" t="str">
        <f>IFERROR(ROUNDDOWN(ROUND(L62*R64,0)*M62,0)*AC64,"")</f>
        <v/>
      </c>
      <c r="AF64" s="571" t="str">
        <f>IFERROR(ROUNDDOWN(ROUND(L62*(R64-P64),0)*M62,0)*AC64,"")</f>
        <v/>
      </c>
      <c r="AG64" s="572">
        <f t="shared" si="64"/>
        <v>0</v>
      </c>
      <c r="AH64" s="451"/>
      <c r="AI64" s="452"/>
      <c r="AJ64" s="453"/>
      <c r="AK64" s="454"/>
      <c r="AL64" s="455"/>
      <c r="AM64" s="456"/>
      <c r="AN64" s="573"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5"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0"/>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78">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79">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5" customHeight="1">
      <c r="A66" s="1223"/>
      <c r="B66" s="1220"/>
      <c r="C66" s="1220"/>
      <c r="D66" s="1220"/>
      <c r="E66" s="1220"/>
      <c r="F66" s="1220"/>
      <c r="G66" s="1232"/>
      <c r="H66" s="1232"/>
      <c r="I66" s="1232"/>
      <c r="J66" s="1232"/>
      <c r="K66" s="1232"/>
      <c r="L66" s="1235"/>
      <c r="M66" s="1290"/>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0"/>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5" customHeight="1" thickBot="1">
      <c r="A67" s="1224"/>
      <c r="B67" s="1221"/>
      <c r="C67" s="1221"/>
      <c r="D67" s="1221"/>
      <c r="E67" s="1221"/>
      <c r="F67" s="1221"/>
      <c r="G67" s="1233"/>
      <c r="H67" s="1233"/>
      <c r="I67" s="1233"/>
      <c r="J67" s="1233"/>
      <c r="K67" s="1233"/>
      <c r="L67" s="1236"/>
      <c r="M67" s="1291"/>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0"/>
        <v>2</v>
      </c>
      <c r="AD67" s="567" t="s">
        <v>38</v>
      </c>
      <c r="AE67" s="582" t="str">
        <f>IFERROR(ROUNDDOWN(ROUND(L65*R67,0)*M65,0)*AC67,"")</f>
        <v/>
      </c>
      <c r="AF67" s="571" t="str">
        <f>IFERROR(ROUNDDOWN(ROUND(L65*(R67-P67),0)*M65,0)*AC67,"")</f>
        <v/>
      </c>
      <c r="AG67" s="572">
        <f t="shared" si="64"/>
        <v>0</v>
      </c>
      <c r="AH67" s="451"/>
      <c r="AI67" s="452"/>
      <c r="AJ67" s="453"/>
      <c r="AK67" s="454"/>
      <c r="AL67" s="455"/>
      <c r="AM67" s="456"/>
      <c r="AN67" s="573"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5"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0"/>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2">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3">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5" customHeight="1">
      <c r="A69" s="1223"/>
      <c r="B69" s="1220"/>
      <c r="C69" s="1220"/>
      <c r="D69" s="1220"/>
      <c r="E69" s="1220"/>
      <c r="F69" s="1220"/>
      <c r="G69" s="1232"/>
      <c r="H69" s="1232"/>
      <c r="I69" s="1232"/>
      <c r="J69" s="1232"/>
      <c r="K69" s="1232"/>
      <c r="L69" s="1235"/>
      <c r="M69" s="1290"/>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0"/>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5" customHeight="1" thickBot="1">
      <c r="A70" s="1224"/>
      <c r="B70" s="1221"/>
      <c r="C70" s="1221"/>
      <c r="D70" s="1221"/>
      <c r="E70" s="1221"/>
      <c r="F70" s="1221"/>
      <c r="G70" s="1233"/>
      <c r="H70" s="1233"/>
      <c r="I70" s="1233"/>
      <c r="J70" s="1233"/>
      <c r="K70" s="1233"/>
      <c r="L70" s="1236"/>
      <c r="M70" s="1291"/>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0"/>
        <v>2</v>
      </c>
      <c r="AD70" s="567" t="s">
        <v>38</v>
      </c>
      <c r="AE70" s="582" t="str">
        <f>IFERROR(ROUNDDOWN(ROUND(L68*R70,0)*M68,0)*AC70,"")</f>
        <v/>
      </c>
      <c r="AF70" s="571" t="str">
        <f>IFERROR(ROUNDDOWN(ROUND(L68*(R70-P70),0)*M68,0)*AC70,"")</f>
        <v/>
      </c>
      <c r="AG70" s="572">
        <f t="shared" si="64"/>
        <v>0</v>
      </c>
      <c r="AH70" s="451"/>
      <c r="AI70" s="452"/>
      <c r="AJ70" s="453"/>
      <c r="AK70" s="454"/>
      <c r="AL70" s="455"/>
      <c r="AM70" s="456"/>
      <c r="AN70" s="573"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5"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0"/>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6">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7">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5" customHeight="1">
      <c r="A72" s="1223"/>
      <c r="B72" s="1220"/>
      <c r="C72" s="1220"/>
      <c r="D72" s="1220"/>
      <c r="E72" s="1220"/>
      <c r="F72" s="1220"/>
      <c r="G72" s="1232"/>
      <c r="H72" s="1232"/>
      <c r="I72" s="1232"/>
      <c r="J72" s="1232"/>
      <c r="K72" s="1232"/>
      <c r="L72" s="1235"/>
      <c r="M72" s="1290"/>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0"/>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5" customHeight="1" thickBot="1">
      <c r="A73" s="1224"/>
      <c r="B73" s="1221"/>
      <c r="C73" s="1221"/>
      <c r="D73" s="1221"/>
      <c r="E73" s="1221"/>
      <c r="F73" s="1221"/>
      <c r="G73" s="1233"/>
      <c r="H73" s="1233"/>
      <c r="I73" s="1233"/>
      <c r="J73" s="1233"/>
      <c r="K73" s="1233"/>
      <c r="L73" s="1236"/>
      <c r="M73" s="1291"/>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0"/>
        <v>2</v>
      </c>
      <c r="AD73" s="567" t="s">
        <v>38</v>
      </c>
      <c r="AE73" s="582" t="str">
        <f>IFERROR(ROUNDDOWN(ROUND(L71*R73,0)*M71,0)*AC73,"")</f>
        <v/>
      </c>
      <c r="AF73" s="571" t="str">
        <f>IFERROR(ROUNDDOWN(ROUND(L71*(R73-P73),0)*M71,0)*AC73,"")</f>
        <v/>
      </c>
      <c r="AG73" s="572">
        <f t="shared" si="64"/>
        <v>0</v>
      </c>
      <c r="AH73" s="451"/>
      <c r="AI73" s="452"/>
      <c r="AJ73" s="453"/>
      <c r="AK73" s="454"/>
      <c r="AL73" s="455"/>
      <c r="AM73" s="456"/>
      <c r="AN73" s="573"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5"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0"/>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0">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1">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5" customHeight="1">
      <c r="A75" s="1223"/>
      <c r="B75" s="1220"/>
      <c r="C75" s="1220"/>
      <c r="D75" s="1220"/>
      <c r="E75" s="1220"/>
      <c r="F75" s="1220"/>
      <c r="G75" s="1232"/>
      <c r="H75" s="1232"/>
      <c r="I75" s="1232"/>
      <c r="J75" s="1232"/>
      <c r="K75" s="1232"/>
      <c r="L75" s="1235"/>
      <c r="M75" s="1290"/>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0"/>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5" customHeight="1" thickBot="1">
      <c r="A76" s="1224"/>
      <c r="B76" s="1221"/>
      <c r="C76" s="1221"/>
      <c r="D76" s="1221"/>
      <c r="E76" s="1221"/>
      <c r="F76" s="1221"/>
      <c r="G76" s="1233"/>
      <c r="H76" s="1233"/>
      <c r="I76" s="1233"/>
      <c r="J76" s="1233"/>
      <c r="K76" s="1233"/>
      <c r="L76" s="1236"/>
      <c r="M76" s="1291"/>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0"/>
        <v>2</v>
      </c>
      <c r="AD76" s="567" t="s">
        <v>38</v>
      </c>
      <c r="AE76" s="582" t="str">
        <f>IFERROR(ROUNDDOWN(ROUND(L74*R76,0)*M74,0)*AC76,"")</f>
        <v/>
      </c>
      <c r="AF76" s="571" t="str">
        <f>IFERROR(ROUNDDOWN(ROUND(L74*(R76-P76),0)*M74,0)*AC76,"")</f>
        <v/>
      </c>
      <c r="AG76" s="572">
        <f t="shared" si="64"/>
        <v>0</v>
      </c>
      <c r="AH76" s="451"/>
      <c r="AI76" s="452"/>
      <c r="AJ76" s="453"/>
      <c r="AK76" s="454"/>
      <c r="AL76" s="455"/>
      <c r="AM76" s="456"/>
      <c r="AN76" s="573"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5"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0"/>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4">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5">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5" customHeight="1">
      <c r="A78" s="1223"/>
      <c r="B78" s="1220"/>
      <c r="C78" s="1220"/>
      <c r="D78" s="1220"/>
      <c r="E78" s="1220"/>
      <c r="F78" s="1220"/>
      <c r="G78" s="1232"/>
      <c r="H78" s="1232"/>
      <c r="I78" s="1232"/>
      <c r="J78" s="1232"/>
      <c r="K78" s="1232"/>
      <c r="L78" s="1235"/>
      <c r="M78" s="1290"/>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0"/>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5" customHeight="1" thickBot="1">
      <c r="A79" s="1224"/>
      <c r="B79" s="1221"/>
      <c r="C79" s="1221"/>
      <c r="D79" s="1221"/>
      <c r="E79" s="1221"/>
      <c r="F79" s="1221"/>
      <c r="G79" s="1233"/>
      <c r="H79" s="1233"/>
      <c r="I79" s="1233"/>
      <c r="J79" s="1233"/>
      <c r="K79" s="1233"/>
      <c r="L79" s="1236"/>
      <c r="M79" s="1291"/>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0"/>
        <v>2</v>
      </c>
      <c r="AD79" s="567" t="s">
        <v>38</v>
      </c>
      <c r="AE79" s="582" t="str">
        <f>IFERROR(ROUNDDOWN(ROUND(L77*R79,0)*M77,0)*AC79,"")</f>
        <v/>
      </c>
      <c r="AF79" s="571" t="str">
        <f>IFERROR(ROUNDDOWN(ROUND(L77*(R79-P79),0)*M77,0)*AC79,"")</f>
        <v/>
      </c>
      <c r="AG79" s="572">
        <f t="shared" si="64"/>
        <v>0</v>
      </c>
      <c r="AH79" s="451"/>
      <c r="AI79" s="452"/>
      <c r="AJ79" s="453"/>
      <c r="AK79" s="454"/>
      <c r="AL79" s="455"/>
      <c r="AM79" s="456"/>
      <c r="AN79" s="573"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5"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0"/>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98">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99">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5" customHeight="1">
      <c r="A81" s="1223"/>
      <c r="B81" s="1220"/>
      <c r="C81" s="1220"/>
      <c r="D81" s="1220"/>
      <c r="E81" s="1220"/>
      <c r="F81" s="1220"/>
      <c r="G81" s="1232"/>
      <c r="H81" s="1232"/>
      <c r="I81" s="1232"/>
      <c r="J81" s="1232"/>
      <c r="K81" s="1232"/>
      <c r="L81" s="1235"/>
      <c r="M81" s="1290"/>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0"/>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5" customHeight="1" thickBot="1">
      <c r="A82" s="1224"/>
      <c r="B82" s="1221"/>
      <c r="C82" s="1221"/>
      <c r="D82" s="1221"/>
      <c r="E82" s="1221"/>
      <c r="F82" s="1221"/>
      <c r="G82" s="1233"/>
      <c r="H82" s="1233"/>
      <c r="I82" s="1233"/>
      <c r="J82" s="1233"/>
      <c r="K82" s="1233"/>
      <c r="L82" s="1236"/>
      <c r="M82" s="1291"/>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0"/>
        <v>2</v>
      </c>
      <c r="AD82" s="567" t="s">
        <v>38</v>
      </c>
      <c r="AE82" s="582" t="str">
        <f>IFERROR(ROUNDDOWN(ROUND(L80*R82,0)*M80,0)*AC82,"")</f>
        <v/>
      </c>
      <c r="AF82" s="571" t="str">
        <f>IFERROR(ROUNDDOWN(ROUND(L80*(R82-P82),0)*M80,0)*AC82,"")</f>
        <v/>
      </c>
      <c r="AG82" s="572">
        <f t="shared" si="64"/>
        <v>0</v>
      </c>
      <c r="AH82" s="451"/>
      <c r="AI82" s="452"/>
      <c r="AJ82" s="453"/>
      <c r="AK82" s="454"/>
      <c r="AL82" s="455"/>
      <c r="AM82" s="456"/>
      <c r="AN82" s="573"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5"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0"/>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2">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3">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5" customHeight="1">
      <c r="A84" s="1223"/>
      <c r="B84" s="1220"/>
      <c r="C84" s="1220"/>
      <c r="D84" s="1220"/>
      <c r="E84" s="1220"/>
      <c r="F84" s="1220"/>
      <c r="G84" s="1232"/>
      <c r="H84" s="1232"/>
      <c r="I84" s="1232"/>
      <c r="J84" s="1232"/>
      <c r="K84" s="1232"/>
      <c r="L84" s="1235"/>
      <c r="M84" s="1290"/>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0"/>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5" customHeight="1" thickBot="1">
      <c r="A85" s="1224"/>
      <c r="B85" s="1221"/>
      <c r="C85" s="1221"/>
      <c r="D85" s="1221"/>
      <c r="E85" s="1221"/>
      <c r="F85" s="1221"/>
      <c r="G85" s="1233"/>
      <c r="H85" s="1233"/>
      <c r="I85" s="1233"/>
      <c r="J85" s="1233"/>
      <c r="K85" s="1233"/>
      <c r="L85" s="1236"/>
      <c r="M85" s="1291"/>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0"/>
        <v>2</v>
      </c>
      <c r="AD85" s="567" t="s">
        <v>38</v>
      </c>
      <c r="AE85" s="582" t="str">
        <f>IFERROR(ROUNDDOWN(ROUND(L83*R85,0)*M83,0)*AC85,"")</f>
        <v/>
      </c>
      <c r="AF85" s="571" t="str">
        <f>IFERROR(ROUNDDOWN(ROUND(L83*(R85-P85),0)*M83,0)*AC85,"")</f>
        <v/>
      </c>
      <c r="AG85" s="572">
        <f t="shared" si="64"/>
        <v>0</v>
      </c>
      <c r="AH85" s="451"/>
      <c r="AI85" s="452"/>
      <c r="AJ85" s="453"/>
      <c r="AK85" s="454"/>
      <c r="AL85" s="455"/>
      <c r="AM85" s="456"/>
      <c r="AN85" s="573"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5"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0"/>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6">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7">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5" customHeight="1">
      <c r="A87" s="1223"/>
      <c r="B87" s="1220"/>
      <c r="C87" s="1220"/>
      <c r="D87" s="1220"/>
      <c r="E87" s="1220"/>
      <c r="F87" s="1220"/>
      <c r="G87" s="1232"/>
      <c r="H87" s="1232"/>
      <c r="I87" s="1232"/>
      <c r="J87" s="1232"/>
      <c r="K87" s="1232"/>
      <c r="L87" s="1235"/>
      <c r="M87" s="1290"/>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0"/>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5" customHeight="1" thickBot="1">
      <c r="A88" s="1224"/>
      <c r="B88" s="1221"/>
      <c r="C88" s="1221"/>
      <c r="D88" s="1221"/>
      <c r="E88" s="1221"/>
      <c r="F88" s="1221"/>
      <c r="G88" s="1233"/>
      <c r="H88" s="1233"/>
      <c r="I88" s="1233"/>
      <c r="J88" s="1233"/>
      <c r="K88" s="1233"/>
      <c r="L88" s="1236"/>
      <c r="M88" s="1291"/>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0"/>
        <v>2</v>
      </c>
      <c r="AD88" s="567" t="s">
        <v>38</v>
      </c>
      <c r="AE88" s="582" t="str">
        <f>IFERROR(ROUNDDOWN(ROUND(L86*R88,0)*M86,0)*AC88,"")</f>
        <v/>
      </c>
      <c r="AF88" s="571" t="str">
        <f>IFERROR(ROUNDDOWN(ROUND(L86*(R88-P88),0)*M86,0)*AC88,"")</f>
        <v/>
      </c>
      <c r="AG88" s="572">
        <f t="shared" si="64"/>
        <v>0</v>
      </c>
      <c r="AH88" s="451"/>
      <c r="AI88" s="452"/>
      <c r="AJ88" s="453"/>
      <c r="AK88" s="454"/>
      <c r="AL88" s="455"/>
      <c r="AM88" s="456"/>
      <c r="AN88" s="573"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5"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0"/>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0">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1">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5" customHeight="1">
      <c r="A90" s="1223"/>
      <c r="B90" s="1220"/>
      <c r="C90" s="1220"/>
      <c r="D90" s="1220"/>
      <c r="E90" s="1220"/>
      <c r="F90" s="1220"/>
      <c r="G90" s="1232"/>
      <c r="H90" s="1232"/>
      <c r="I90" s="1232"/>
      <c r="J90" s="1232"/>
      <c r="K90" s="1232"/>
      <c r="L90" s="1235"/>
      <c r="M90" s="1290"/>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0"/>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5" customHeight="1" thickBot="1">
      <c r="A91" s="1224"/>
      <c r="B91" s="1221"/>
      <c r="C91" s="1221"/>
      <c r="D91" s="1221"/>
      <c r="E91" s="1221"/>
      <c r="F91" s="1221"/>
      <c r="G91" s="1233"/>
      <c r="H91" s="1233"/>
      <c r="I91" s="1233"/>
      <c r="J91" s="1233"/>
      <c r="K91" s="1233"/>
      <c r="L91" s="1236"/>
      <c r="M91" s="1291"/>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0"/>
        <v>2</v>
      </c>
      <c r="AD91" s="567" t="s">
        <v>38</v>
      </c>
      <c r="AE91" s="582" t="str">
        <f>IFERROR(ROUNDDOWN(ROUND(L89*R91,0)*M89,0)*AC91,"")</f>
        <v/>
      </c>
      <c r="AF91" s="571" t="str">
        <f>IFERROR(ROUNDDOWN(ROUND(L89*(R91-P91),0)*M89,0)*AC91,"")</f>
        <v/>
      </c>
      <c r="AG91" s="572">
        <f t="shared" si="64"/>
        <v>0</v>
      </c>
      <c r="AH91" s="451"/>
      <c r="AI91" s="452"/>
      <c r="AJ91" s="453"/>
      <c r="AK91" s="454"/>
      <c r="AL91" s="455"/>
      <c r="AM91" s="456"/>
      <c r="AN91" s="573"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5"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0"/>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4">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5">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5" customHeight="1">
      <c r="A93" s="1223"/>
      <c r="B93" s="1220"/>
      <c r="C93" s="1220"/>
      <c r="D93" s="1220"/>
      <c r="E93" s="1220"/>
      <c r="F93" s="1220"/>
      <c r="G93" s="1232"/>
      <c r="H93" s="1232"/>
      <c r="I93" s="1232"/>
      <c r="J93" s="1232"/>
      <c r="K93" s="1232"/>
      <c r="L93" s="1235"/>
      <c r="M93" s="1290"/>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0"/>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5" customHeight="1" thickBot="1">
      <c r="A94" s="1224"/>
      <c r="B94" s="1221"/>
      <c r="C94" s="1221"/>
      <c r="D94" s="1221"/>
      <c r="E94" s="1221"/>
      <c r="F94" s="1221"/>
      <c r="G94" s="1233"/>
      <c r="H94" s="1233"/>
      <c r="I94" s="1233"/>
      <c r="J94" s="1233"/>
      <c r="K94" s="1233"/>
      <c r="L94" s="1236"/>
      <c r="M94" s="1291"/>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0"/>
        <v>2</v>
      </c>
      <c r="AD94" s="567" t="s">
        <v>38</v>
      </c>
      <c r="AE94" s="582" t="str">
        <f>IFERROR(ROUNDDOWN(ROUND(L92*R94,0)*M92,0)*AC94,"")</f>
        <v/>
      </c>
      <c r="AF94" s="571" t="str">
        <f>IFERROR(ROUNDDOWN(ROUND(L92*(R94-P94),0)*M92,0)*AC94,"")</f>
        <v/>
      </c>
      <c r="AG94" s="572">
        <f t="shared" si="64"/>
        <v>0</v>
      </c>
      <c r="AH94" s="451"/>
      <c r="AI94" s="452"/>
      <c r="AJ94" s="453"/>
      <c r="AK94" s="454"/>
      <c r="AL94" s="455"/>
      <c r="AM94" s="456"/>
      <c r="AN94" s="573"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5"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18">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19">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0">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5" customHeight="1">
      <c r="A96" s="1223"/>
      <c r="B96" s="1220"/>
      <c r="C96" s="1220"/>
      <c r="D96" s="1220"/>
      <c r="E96" s="1220"/>
      <c r="F96" s="1220"/>
      <c r="G96" s="1232"/>
      <c r="H96" s="1232"/>
      <c r="I96" s="1232"/>
      <c r="J96" s="1232"/>
      <c r="K96" s="1232"/>
      <c r="L96" s="1235"/>
      <c r="M96" s="1290"/>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18"/>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5" customHeight="1" thickBot="1">
      <c r="A97" s="1224"/>
      <c r="B97" s="1221"/>
      <c r="C97" s="1221"/>
      <c r="D97" s="1221"/>
      <c r="E97" s="1221"/>
      <c r="F97" s="1221"/>
      <c r="G97" s="1233"/>
      <c r="H97" s="1233"/>
      <c r="I97" s="1233"/>
      <c r="J97" s="1233"/>
      <c r="K97" s="1233"/>
      <c r="L97" s="1236"/>
      <c r="M97" s="1291"/>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18"/>
        <v>2</v>
      </c>
      <c r="AD97" s="567" t="s">
        <v>38</v>
      </c>
      <c r="AE97" s="582" t="str">
        <f>IFERROR(ROUNDDOWN(ROUND(L95*R97,0)*M95,0)*AC97,"")</f>
        <v/>
      </c>
      <c r="AF97" s="571" t="str">
        <f>IFERROR(ROUNDDOWN(ROUND(L95*(R97-P97),0)*M95,0)*AC97,"")</f>
        <v/>
      </c>
      <c r="AG97" s="572">
        <f t="shared" si="64"/>
        <v>0</v>
      </c>
      <c r="AH97" s="451"/>
      <c r="AI97" s="452"/>
      <c r="AJ97" s="453"/>
      <c r="AK97" s="454"/>
      <c r="AL97" s="455"/>
      <c r="AM97" s="456"/>
      <c r="AN97" s="573"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5"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18"/>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3">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4">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5" customHeight="1">
      <c r="A99" s="1223"/>
      <c r="B99" s="1220"/>
      <c r="C99" s="1220"/>
      <c r="D99" s="1220"/>
      <c r="E99" s="1220"/>
      <c r="F99" s="1220"/>
      <c r="G99" s="1232"/>
      <c r="H99" s="1232"/>
      <c r="I99" s="1232"/>
      <c r="J99" s="1232"/>
      <c r="K99" s="1232"/>
      <c r="L99" s="1235"/>
      <c r="M99" s="1290"/>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18"/>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5" customHeight="1" thickBot="1">
      <c r="A100" s="1224"/>
      <c r="B100" s="1221"/>
      <c r="C100" s="1221"/>
      <c r="D100" s="1221"/>
      <c r="E100" s="1221"/>
      <c r="F100" s="1221"/>
      <c r="G100" s="1233"/>
      <c r="H100" s="1233"/>
      <c r="I100" s="1233"/>
      <c r="J100" s="1233"/>
      <c r="K100" s="1233"/>
      <c r="L100" s="1236"/>
      <c r="M100" s="1291"/>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18"/>
        <v>2</v>
      </c>
      <c r="AD100" s="567" t="s">
        <v>38</v>
      </c>
      <c r="AE100" s="582" t="str">
        <f>IFERROR(ROUNDDOWN(ROUND(L98*R100,0)*M98,0)*AC100,"")</f>
        <v/>
      </c>
      <c r="AF100" s="571" t="str">
        <f>IFERROR(ROUNDDOWN(ROUND(L98*(R100-P100),0)*M98,0)*AC100,"")</f>
        <v/>
      </c>
      <c r="AG100" s="572">
        <f t="shared" si="64"/>
        <v>0</v>
      </c>
      <c r="AH100" s="451"/>
      <c r="AI100" s="452"/>
      <c r="AJ100" s="453"/>
      <c r="AK100" s="454"/>
      <c r="AL100" s="455"/>
      <c r="AM100" s="456"/>
      <c r="AN100" s="573"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5"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18"/>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7">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28">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5" customHeight="1">
      <c r="A102" s="1223"/>
      <c r="B102" s="1220"/>
      <c r="C102" s="1220"/>
      <c r="D102" s="1220"/>
      <c r="E102" s="1220"/>
      <c r="F102" s="1220"/>
      <c r="G102" s="1232"/>
      <c r="H102" s="1232"/>
      <c r="I102" s="1232"/>
      <c r="J102" s="1232"/>
      <c r="K102" s="1232"/>
      <c r="L102" s="1235"/>
      <c r="M102" s="1290"/>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18"/>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5" customHeight="1" thickBot="1">
      <c r="A103" s="1224"/>
      <c r="B103" s="1221"/>
      <c r="C103" s="1221"/>
      <c r="D103" s="1221"/>
      <c r="E103" s="1221"/>
      <c r="F103" s="1221"/>
      <c r="G103" s="1233"/>
      <c r="H103" s="1233"/>
      <c r="I103" s="1233"/>
      <c r="J103" s="1233"/>
      <c r="K103" s="1233"/>
      <c r="L103" s="1236"/>
      <c r="M103" s="1291"/>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18"/>
        <v>2</v>
      </c>
      <c r="AD103" s="567" t="s">
        <v>38</v>
      </c>
      <c r="AE103" s="582" t="str">
        <f>IFERROR(ROUNDDOWN(ROUND(L101*R103,0)*M101,0)*AC103,"")</f>
        <v/>
      </c>
      <c r="AF103" s="571" t="str">
        <f>IFERROR(ROUNDDOWN(ROUND(L101*(R103-P103),0)*M101,0)*AC103,"")</f>
        <v/>
      </c>
      <c r="AG103" s="572">
        <f t="shared" si="64"/>
        <v>0</v>
      </c>
      <c r="AH103" s="451"/>
      <c r="AI103" s="452"/>
      <c r="AJ103" s="453"/>
      <c r="AK103" s="454"/>
      <c r="AL103" s="455"/>
      <c r="AM103" s="456"/>
      <c r="AN103" s="573"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5"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18"/>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1">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2">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5" customHeight="1">
      <c r="A105" s="1223"/>
      <c r="B105" s="1220"/>
      <c r="C105" s="1220"/>
      <c r="D105" s="1220"/>
      <c r="E105" s="1220"/>
      <c r="F105" s="1220"/>
      <c r="G105" s="1232"/>
      <c r="H105" s="1232"/>
      <c r="I105" s="1232"/>
      <c r="J105" s="1232"/>
      <c r="K105" s="1232"/>
      <c r="L105" s="1235"/>
      <c r="M105" s="1290"/>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18"/>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5" customHeight="1" thickBot="1">
      <c r="A106" s="1224"/>
      <c r="B106" s="1221"/>
      <c r="C106" s="1221"/>
      <c r="D106" s="1221"/>
      <c r="E106" s="1221"/>
      <c r="F106" s="1221"/>
      <c r="G106" s="1233"/>
      <c r="H106" s="1233"/>
      <c r="I106" s="1233"/>
      <c r="J106" s="1233"/>
      <c r="K106" s="1233"/>
      <c r="L106" s="1236"/>
      <c r="M106" s="1291"/>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18"/>
        <v>2</v>
      </c>
      <c r="AD106" s="567" t="s">
        <v>38</v>
      </c>
      <c r="AE106" s="582" t="str">
        <f>IFERROR(ROUNDDOWN(ROUND(L104*R106,0)*M104,0)*AC106,"")</f>
        <v/>
      </c>
      <c r="AF106" s="571" t="str">
        <f>IFERROR(ROUNDDOWN(ROUND(L104*(R106-P106),0)*M104,0)*AC106,"")</f>
        <v/>
      </c>
      <c r="AG106" s="572">
        <f t="shared" si="64"/>
        <v>0</v>
      </c>
      <c r="AH106" s="451"/>
      <c r="AI106" s="452"/>
      <c r="AJ106" s="453"/>
      <c r="AK106" s="454"/>
      <c r="AL106" s="455"/>
      <c r="AM106" s="456"/>
      <c r="AN106" s="573"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5"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18"/>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5">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6">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5" customHeight="1">
      <c r="A108" s="1223"/>
      <c r="B108" s="1220"/>
      <c r="C108" s="1220"/>
      <c r="D108" s="1220"/>
      <c r="E108" s="1220"/>
      <c r="F108" s="1220"/>
      <c r="G108" s="1232"/>
      <c r="H108" s="1232"/>
      <c r="I108" s="1232"/>
      <c r="J108" s="1232"/>
      <c r="K108" s="1232"/>
      <c r="L108" s="1235"/>
      <c r="M108" s="1290"/>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18"/>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5" customHeight="1" thickBot="1">
      <c r="A109" s="1224"/>
      <c r="B109" s="1221"/>
      <c r="C109" s="1221"/>
      <c r="D109" s="1221"/>
      <c r="E109" s="1221"/>
      <c r="F109" s="1221"/>
      <c r="G109" s="1233"/>
      <c r="H109" s="1233"/>
      <c r="I109" s="1233"/>
      <c r="J109" s="1233"/>
      <c r="K109" s="1233"/>
      <c r="L109" s="1236"/>
      <c r="M109" s="1291"/>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18"/>
        <v>2</v>
      </c>
      <c r="AD109" s="567" t="s">
        <v>38</v>
      </c>
      <c r="AE109" s="582" t="str">
        <f>IFERROR(ROUNDDOWN(ROUND(L107*R109,0)*M107,0)*AC109,"")</f>
        <v/>
      </c>
      <c r="AF109" s="571" t="str">
        <f>IFERROR(ROUNDDOWN(ROUND(L107*(R109-P109),0)*M107,0)*AC109,"")</f>
        <v/>
      </c>
      <c r="AG109" s="572">
        <f t="shared" si="64"/>
        <v>0</v>
      </c>
      <c r="AH109" s="451"/>
      <c r="AI109" s="452"/>
      <c r="AJ109" s="453"/>
      <c r="AK109" s="454"/>
      <c r="AL109" s="455"/>
      <c r="AM109" s="456"/>
      <c r="AN109" s="573"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5"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18"/>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39">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0">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5" customHeight="1">
      <c r="A111" s="1223"/>
      <c r="B111" s="1220"/>
      <c r="C111" s="1220"/>
      <c r="D111" s="1220"/>
      <c r="E111" s="1220"/>
      <c r="F111" s="1220"/>
      <c r="G111" s="1232"/>
      <c r="H111" s="1232"/>
      <c r="I111" s="1232"/>
      <c r="J111" s="1232"/>
      <c r="K111" s="1232"/>
      <c r="L111" s="1235"/>
      <c r="M111" s="1290"/>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18"/>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5" customHeight="1" thickBot="1">
      <c r="A112" s="1224"/>
      <c r="B112" s="1221"/>
      <c r="C112" s="1221"/>
      <c r="D112" s="1221"/>
      <c r="E112" s="1221"/>
      <c r="F112" s="1221"/>
      <c r="G112" s="1233"/>
      <c r="H112" s="1233"/>
      <c r="I112" s="1233"/>
      <c r="J112" s="1233"/>
      <c r="K112" s="1233"/>
      <c r="L112" s="1236"/>
      <c r="M112" s="1291"/>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18"/>
        <v>2</v>
      </c>
      <c r="AD112" s="567" t="s">
        <v>38</v>
      </c>
      <c r="AE112" s="582" t="str">
        <f>IFERROR(ROUNDDOWN(ROUND(L110*R112,0)*M110,0)*AC112,"")</f>
        <v/>
      </c>
      <c r="AF112" s="571" t="str">
        <f>IFERROR(ROUNDDOWN(ROUND(L110*(R112-P112),0)*M110,0)*AC112,"")</f>
        <v/>
      </c>
      <c r="AG112" s="572">
        <f t="shared" si="64"/>
        <v>0</v>
      </c>
      <c r="AH112" s="451"/>
      <c r="AI112" s="452"/>
      <c r="AJ112" s="453"/>
      <c r="AK112" s="454"/>
      <c r="AL112" s="455"/>
      <c r="AM112" s="456"/>
      <c r="AN112" s="573"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5"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18"/>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3">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4">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5" customHeight="1">
      <c r="A114" s="1223"/>
      <c r="B114" s="1220"/>
      <c r="C114" s="1220"/>
      <c r="D114" s="1220"/>
      <c r="E114" s="1220"/>
      <c r="F114" s="1220"/>
      <c r="G114" s="1232"/>
      <c r="H114" s="1232"/>
      <c r="I114" s="1232"/>
      <c r="J114" s="1232"/>
      <c r="K114" s="1232"/>
      <c r="L114" s="1235"/>
      <c r="M114" s="1290"/>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18"/>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5" customHeight="1" thickBot="1">
      <c r="A115" s="1224"/>
      <c r="B115" s="1221"/>
      <c r="C115" s="1221"/>
      <c r="D115" s="1221"/>
      <c r="E115" s="1221"/>
      <c r="F115" s="1221"/>
      <c r="G115" s="1233"/>
      <c r="H115" s="1233"/>
      <c r="I115" s="1233"/>
      <c r="J115" s="1233"/>
      <c r="K115" s="1233"/>
      <c r="L115" s="1236"/>
      <c r="M115" s="1291"/>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18"/>
        <v>2</v>
      </c>
      <c r="AD115" s="567" t="s">
        <v>38</v>
      </c>
      <c r="AE115" s="582" t="str">
        <f>IFERROR(ROUNDDOWN(ROUND(L113*R115,0)*M113,0)*AC115,"")</f>
        <v/>
      </c>
      <c r="AF115" s="571" t="str">
        <f>IFERROR(ROUNDDOWN(ROUND(L113*(R115-P115),0)*M113,0)*AC115,"")</f>
        <v/>
      </c>
      <c r="AG115" s="572">
        <f t="shared" si="64"/>
        <v>0</v>
      </c>
      <c r="AH115" s="451"/>
      <c r="AI115" s="452"/>
      <c r="AJ115" s="453"/>
      <c r="AK115" s="454"/>
      <c r="AL115" s="455"/>
      <c r="AM115" s="456"/>
      <c r="AN115" s="573"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5"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18"/>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7">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48">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5" customHeight="1">
      <c r="A117" s="1223"/>
      <c r="B117" s="1220"/>
      <c r="C117" s="1220"/>
      <c r="D117" s="1220"/>
      <c r="E117" s="1220"/>
      <c r="F117" s="1220"/>
      <c r="G117" s="1232"/>
      <c r="H117" s="1232"/>
      <c r="I117" s="1232"/>
      <c r="J117" s="1232"/>
      <c r="K117" s="1232"/>
      <c r="L117" s="1235"/>
      <c r="M117" s="1290"/>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18"/>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5" customHeight="1" thickBot="1">
      <c r="A118" s="1224"/>
      <c r="B118" s="1221"/>
      <c r="C118" s="1221"/>
      <c r="D118" s="1221"/>
      <c r="E118" s="1221"/>
      <c r="F118" s="1221"/>
      <c r="G118" s="1233"/>
      <c r="H118" s="1233"/>
      <c r="I118" s="1233"/>
      <c r="J118" s="1233"/>
      <c r="K118" s="1233"/>
      <c r="L118" s="1236"/>
      <c r="M118" s="1291"/>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18"/>
        <v>2</v>
      </c>
      <c r="AD118" s="567" t="s">
        <v>38</v>
      </c>
      <c r="AE118" s="582" t="str">
        <f>IFERROR(ROUNDDOWN(ROUND(L116*R118,0)*M116,0)*AC118,"")</f>
        <v/>
      </c>
      <c r="AF118" s="571" t="str">
        <f>IFERROR(ROUNDDOWN(ROUND(L116*(R118-P118),0)*M116,0)*AC118,"")</f>
        <v/>
      </c>
      <c r="AG118" s="572">
        <f t="shared" si="64"/>
        <v>0</v>
      </c>
      <c r="AH118" s="451"/>
      <c r="AI118" s="452"/>
      <c r="AJ118" s="453"/>
      <c r="AK118" s="454"/>
      <c r="AL118" s="455"/>
      <c r="AM118" s="456"/>
      <c r="AN118" s="573"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5"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18"/>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1">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2">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5" customHeight="1">
      <c r="A120" s="1223"/>
      <c r="B120" s="1220"/>
      <c r="C120" s="1220"/>
      <c r="D120" s="1220"/>
      <c r="E120" s="1220"/>
      <c r="F120" s="1220"/>
      <c r="G120" s="1232"/>
      <c r="H120" s="1232"/>
      <c r="I120" s="1232"/>
      <c r="J120" s="1232"/>
      <c r="K120" s="1232"/>
      <c r="L120" s="1235"/>
      <c r="M120" s="1290"/>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18"/>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5" customHeight="1" thickBot="1">
      <c r="A121" s="1224"/>
      <c r="B121" s="1221"/>
      <c r="C121" s="1221"/>
      <c r="D121" s="1221"/>
      <c r="E121" s="1221"/>
      <c r="F121" s="1221"/>
      <c r="G121" s="1233"/>
      <c r="H121" s="1233"/>
      <c r="I121" s="1233"/>
      <c r="J121" s="1233"/>
      <c r="K121" s="1233"/>
      <c r="L121" s="1236"/>
      <c r="M121" s="1291"/>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18"/>
        <v>2</v>
      </c>
      <c r="AD121" s="567" t="s">
        <v>38</v>
      </c>
      <c r="AE121" s="582" t="str">
        <f>IFERROR(ROUNDDOWN(ROUND(L119*R121,0)*M119,0)*AC121,"")</f>
        <v/>
      </c>
      <c r="AF121" s="571" t="str">
        <f>IFERROR(ROUNDDOWN(ROUND(L119*(R121-P121),0)*M119,0)*AC121,"")</f>
        <v/>
      </c>
      <c r="AG121" s="572">
        <f t="shared" ref="AG121:AG184" si="154">IF(AND(O121="ベア加算なし",Q121="ベア加算"),AE121,0)</f>
        <v>0</v>
      </c>
      <c r="AH121" s="451"/>
      <c r="AI121" s="452"/>
      <c r="AJ121" s="453"/>
      <c r="AK121" s="454"/>
      <c r="AL121" s="455"/>
      <c r="AM121" s="456"/>
      <c r="AN121" s="573"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5"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18"/>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6">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7">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5" customHeight="1">
      <c r="A123" s="1223"/>
      <c r="B123" s="1220"/>
      <c r="C123" s="1220"/>
      <c r="D123" s="1220"/>
      <c r="E123" s="1220"/>
      <c r="F123" s="1220"/>
      <c r="G123" s="1232"/>
      <c r="H123" s="1232"/>
      <c r="I123" s="1232"/>
      <c r="J123" s="1232"/>
      <c r="K123" s="1232"/>
      <c r="L123" s="1235"/>
      <c r="M123" s="1290"/>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18"/>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5" customHeight="1" thickBot="1">
      <c r="A124" s="1224"/>
      <c r="B124" s="1221"/>
      <c r="C124" s="1221"/>
      <c r="D124" s="1221"/>
      <c r="E124" s="1221"/>
      <c r="F124" s="1221"/>
      <c r="G124" s="1233"/>
      <c r="H124" s="1233"/>
      <c r="I124" s="1233"/>
      <c r="J124" s="1233"/>
      <c r="K124" s="1233"/>
      <c r="L124" s="1236"/>
      <c r="M124" s="1291"/>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18"/>
        <v>2</v>
      </c>
      <c r="AD124" s="567" t="s">
        <v>38</v>
      </c>
      <c r="AE124" s="582" t="str">
        <f>IFERROR(ROUNDDOWN(ROUND(L122*R124,0)*M122,0)*AC124,"")</f>
        <v/>
      </c>
      <c r="AF124" s="571" t="str">
        <f>IFERROR(ROUNDDOWN(ROUND(L122*(R124-P124),0)*M122,0)*AC124,"")</f>
        <v/>
      </c>
      <c r="AG124" s="572">
        <f t="shared" si="154"/>
        <v>0</v>
      </c>
      <c r="AH124" s="451"/>
      <c r="AI124" s="452"/>
      <c r="AJ124" s="453"/>
      <c r="AK124" s="454"/>
      <c r="AL124" s="455"/>
      <c r="AM124" s="456"/>
      <c r="AN124" s="573"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5"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18"/>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0">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1">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5" customHeight="1">
      <c r="A126" s="1223"/>
      <c r="B126" s="1220"/>
      <c r="C126" s="1220"/>
      <c r="D126" s="1220"/>
      <c r="E126" s="1220"/>
      <c r="F126" s="1220"/>
      <c r="G126" s="1232"/>
      <c r="H126" s="1232"/>
      <c r="I126" s="1232"/>
      <c r="J126" s="1232"/>
      <c r="K126" s="1232"/>
      <c r="L126" s="1235"/>
      <c r="M126" s="1290"/>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18"/>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5" customHeight="1" thickBot="1">
      <c r="A127" s="1224"/>
      <c r="B127" s="1221"/>
      <c r="C127" s="1221"/>
      <c r="D127" s="1221"/>
      <c r="E127" s="1221"/>
      <c r="F127" s="1221"/>
      <c r="G127" s="1233"/>
      <c r="H127" s="1233"/>
      <c r="I127" s="1233"/>
      <c r="J127" s="1233"/>
      <c r="K127" s="1233"/>
      <c r="L127" s="1236"/>
      <c r="M127" s="1291"/>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18"/>
        <v>2</v>
      </c>
      <c r="AD127" s="567" t="s">
        <v>38</v>
      </c>
      <c r="AE127" s="582" t="str">
        <f>IFERROR(ROUNDDOWN(ROUND(L125*R127,0)*M125,0)*AC127,"")</f>
        <v/>
      </c>
      <c r="AF127" s="571" t="str">
        <f>IFERROR(ROUNDDOWN(ROUND(L125*(R127-P127),0)*M125,0)*AC127,"")</f>
        <v/>
      </c>
      <c r="AG127" s="572">
        <f t="shared" si="154"/>
        <v>0</v>
      </c>
      <c r="AH127" s="451"/>
      <c r="AI127" s="452"/>
      <c r="AJ127" s="453"/>
      <c r="AK127" s="454"/>
      <c r="AL127" s="455"/>
      <c r="AM127" s="456"/>
      <c r="AN127" s="573"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5"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18"/>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4">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5">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5" customHeight="1">
      <c r="A129" s="1223"/>
      <c r="B129" s="1220"/>
      <c r="C129" s="1220"/>
      <c r="D129" s="1220"/>
      <c r="E129" s="1220"/>
      <c r="F129" s="1220"/>
      <c r="G129" s="1232"/>
      <c r="H129" s="1232"/>
      <c r="I129" s="1232"/>
      <c r="J129" s="1232"/>
      <c r="K129" s="1232"/>
      <c r="L129" s="1235"/>
      <c r="M129" s="1290"/>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18"/>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5" customHeight="1" thickBot="1">
      <c r="A130" s="1224"/>
      <c r="B130" s="1221"/>
      <c r="C130" s="1221"/>
      <c r="D130" s="1221"/>
      <c r="E130" s="1221"/>
      <c r="F130" s="1221"/>
      <c r="G130" s="1233"/>
      <c r="H130" s="1233"/>
      <c r="I130" s="1233"/>
      <c r="J130" s="1233"/>
      <c r="K130" s="1233"/>
      <c r="L130" s="1236"/>
      <c r="M130" s="1291"/>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18"/>
        <v>2</v>
      </c>
      <c r="AD130" s="567" t="s">
        <v>38</v>
      </c>
      <c r="AE130" s="582" t="str">
        <f>IFERROR(ROUNDDOWN(ROUND(L128*R130,0)*M128,0)*AC130,"")</f>
        <v/>
      </c>
      <c r="AF130" s="571" t="str">
        <f>IFERROR(ROUNDDOWN(ROUND(L128*(R130-P130),0)*M128,0)*AC130,"")</f>
        <v/>
      </c>
      <c r="AG130" s="572">
        <f t="shared" si="154"/>
        <v>0</v>
      </c>
      <c r="AH130" s="451"/>
      <c r="AI130" s="452"/>
      <c r="AJ130" s="453"/>
      <c r="AK130" s="454"/>
      <c r="AL130" s="455"/>
      <c r="AM130" s="456"/>
      <c r="AN130" s="573"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5"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18"/>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68">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69">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5" customHeight="1">
      <c r="A132" s="1223"/>
      <c r="B132" s="1220"/>
      <c r="C132" s="1220"/>
      <c r="D132" s="1220"/>
      <c r="E132" s="1220"/>
      <c r="F132" s="1220"/>
      <c r="G132" s="1232"/>
      <c r="H132" s="1232"/>
      <c r="I132" s="1232"/>
      <c r="J132" s="1232"/>
      <c r="K132" s="1232"/>
      <c r="L132" s="1235"/>
      <c r="M132" s="1290"/>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18"/>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5" customHeight="1" thickBot="1">
      <c r="A133" s="1224"/>
      <c r="B133" s="1221"/>
      <c r="C133" s="1221"/>
      <c r="D133" s="1221"/>
      <c r="E133" s="1221"/>
      <c r="F133" s="1221"/>
      <c r="G133" s="1233"/>
      <c r="H133" s="1233"/>
      <c r="I133" s="1233"/>
      <c r="J133" s="1233"/>
      <c r="K133" s="1233"/>
      <c r="L133" s="1236"/>
      <c r="M133" s="1291"/>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18"/>
        <v>2</v>
      </c>
      <c r="AD133" s="567" t="s">
        <v>38</v>
      </c>
      <c r="AE133" s="582" t="str">
        <f>IFERROR(ROUNDDOWN(ROUND(L131*R133,0)*M131,0)*AC133,"")</f>
        <v/>
      </c>
      <c r="AF133" s="571" t="str">
        <f>IFERROR(ROUNDDOWN(ROUND(L131*(R133-P133),0)*M131,0)*AC133,"")</f>
        <v/>
      </c>
      <c r="AG133" s="572">
        <f t="shared" si="154"/>
        <v>0</v>
      </c>
      <c r="AH133" s="451"/>
      <c r="AI133" s="452"/>
      <c r="AJ133" s="453"/>
      <c r="AK133" s="454"/>
      <c r="AL133" s="455"/>
      <c r="AM133" s="456"/>
      <c r="AN133" s="573"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5"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18"/>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2">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3">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5" customHeight="1">
      <c r="A135" s="1223"/>
      <c r="B135" s="1220"/>
      <c r="C135" s="1220"/>
      <c r="D135" s="1220"/>
      <c r="E135" s="1220"/>
      <c r="F135" s="1220"/>
      <c r="G135" s="1232"/>
      <c r="H135" s="1232"/>
      <c r="I135" s="1232"/>
      <c r="J135" s="1232"/>
      <c r="K135" s="1232"/>
      <c r="L135" s="1235"/>
      <c r="M135" s="1290"/>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18"/>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5" customHeight="1" thickBot="1">
      <c r="A136" s="1224"/>
      <c r="B136" s="1221"/>
      <c r="C136" s="1221"/>
      <c r="D136" s="1221"/>
      <c r="E136" s="1221"/>
      <c r="F136" s="1221"/>
      <c r="G136" s="1233"/>
      <c r="H136" s="1233"/>
      <c r="I136" s="1233"/>
      <c r="J136" s="1233"/>
      <c r="K136" s="1233"/>
      <c r="L136" s="1236"/>
      <c r="M136" s="1291"/>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18"/>
        <v>2</v>
      </c>
      <c r="AD136" s="567" t="s">
        <v>38</v>
      </c>
      <c r="AE136" s="582" t="str">
        <f>IFERROR(ROUNDDOWN(ROUND(L134*R136,0)*M134,0)*AC136,"")</f>
        <v/>
      </c>
      <c r="AF136" s="571" t="str">
        <f>IFERROR(ROUNDDOWN(ROUND(L134*(R136-P136),0)*M134,0)*AC136,"")</f>
        <v/>
      </c>
      <c r="AG136" s="572">
        <f t="shared" si="154"/>
        <v>0</v>
      </c>
      <c r="AH136" s="451"/>
      <c r="AI136" s="452"/>
      <c r="AJ136" s="453"/>
      <c r="AK136" s="454"/>
      <c r="AL136" s="455"/>
      <c r="AM136" s="456"/>
      <c r="AN136" s="573"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5"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18"/>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6">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7">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5" customHeight="1">
      <c r="A138" s="1223"/>
      <c r="B138" s="1220"/>
      <c r="C138" s="1220"/>
      <c r="D138" s="1220"/>
      <c r="E138" s="1220"/>
      <c r="F138" s="1220"/>
      <c r="G138" s="1232"/>
      <c r="H138" s="1232"/>
      <c r="I138" s="1232"/>
      <c r="J138" s="1232"/>
      <c r="K138" s="1232"/>
      <c r="L138" s="1235"/>
      <c r="M138" s="1290"/>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18"/>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5" customHeight="1" thickBot="1">
      <c r="A139" s="1224"/>
      <c r="B139" s="1221"/>
      <c r="C139" s="1221"/>
      <c r="D139" s="1221"/>
      <c r="E139" s="1221"/>
      <c r="F139" s="1221"/>
      <c r="G139" s="1233"/>
      <c r="H139" s="1233"/>
      <c r="I139" s="1233"/>
      <c r="J139" s="1233"/>
      <c r="K139" s="1233"/>
      <c r="L139" s="1236"/>
      <c r="M139" s="1291"/>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18"/>
        <v>2</v>
      </c>
      <c r="AD139" s="567" t="s">
        <v>38</v>
      </c>
      <c r="AE139" s="582" t="str">
        <f>IFERROR(ROUNDDOWN(ROUND(L137*R139,0)*M137,0)*AC139,"")</f>
        <v/>
      </c>
      <c r="AF139" s="571" t="str">
        <f>IFERROR(ROUNDDOWN(ROUND(L137*(R139-P139),0)*M137,0)*AC139,"")</f>
        <v/>
      </c>
      <c r="AG139" s="572">
        <f t="shared" si="154"/>
        <v>0</v>
      </c>
      <c r="AH139" s="451"/>
      <c r="AI139" s="452"/>
      <c r="AJ139" s="453"/>
      <c r="AK139" s="454"/>
      <c r="AL139" s="455"/>
      <c r="AM139" s="456"/>
      <c r="AN139" s="573"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5"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18"/>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0">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1">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5" customHeight="1">
      <c r="A141" s="1223"/>
      <c r="B141" s="1220"/>
      <c r="C141" s="1220"/>
      <c r="D141" s="1220"/>
      <c r="E141" s="1220"/>
      <c r="F141" s="1220"/>
      <c r="G141" s="1232"/>
      <c r="H141" s="1232"/>
      <c r="I141" s="1232"/>
      <c r="J141" s="1232"/>
      <c r="K141" s="1232"/>
      <c r="L141" s="1235"/>
      <c r="M141" s="1290"/>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18"/>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5" customHeight="1" thickBot="1">
      <c r="A142" s="1224"/>
      <c r="B142" s="1221"/>
      <c r="C142" s="1221"/>
      <c r="D142" s="1221"/>
      <c r="E142" s="1221"/>
      <c r="F142" s="1221"/>
      <c r="G142" s="1233"/>
      <c r="H142" s="1233"/>
      <c r="I142" s="1233"/>
      <c r="J142" s="1233"/>
      <c r="K142" s="1233"/>
      <c r="L142" s="1236"/>
      <c r="M142" s="1291"/>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18"/>
        <v>2</v>
      </c>
      <c r="AD142" s="567" t="s">
        <v>38</v>
      </c>
      <c r="AE142" s="582" t="str">
        <f>IFERROR(ROUNDDOWN(ROUND(L140*R142,0)*M140,0)*AC142,"")</f>
        <v/>
      </c>
      <c r="AF142" s="571" t="str">
        <f>IFERROR(ROUNDDOWN(ROUND(L140*(R142-P142),0)*M140,0)*AC142,"")</f>
        <v/>
      </c>
      <c r="AG142" s="572">
        <f t="shared" si="154"/>
        <v>0</v>
      </c>
      <c r="AH142" s="451"/>
      <c r="AI142" s="452"/>
      <c r="AJ142" s="453"/>
      <c r="AK142" s="454"/>
      <c r="AL142" s="455"/>
      <c r="AM142" s="456"/>
      <c r="AN142" s="573"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5"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18"/>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4">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5">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5" customHeight="1">
      <c r="A144" s="1223"/>
      <c r="B144" s="1220"/>
      <c r="C144" s="1220"/>
      <c r="D144" s="1220"/>
      <c r="E144" s="1220"/>
      <c r="F144" s="1220"/>
      <c r="G144" s="1232"/>
      <c r="H144" s="1232"/>
      <c r="I144" s="1232"/>
      <c r="J144" s="1232"/>
      <c r="K144" s="1232"/>
      <c r="L144" s="1235"/>
      <c r="M144" s="1290"/>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18"/>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5" customHeight="1" thickBot="1">
      <c r="A145" s="1224"/>
      <c r="B145" s="1221"/>
      <c r="C145" s="1221"/>
      <c r="D145" s="1221"/>
      <c r="E145" s="1221"/>
      <c r="F145" s="1221"/>
      <c r="G145" s="1233"/>
      <c r="H145" s="1233"/>
      <c r="I145" s="1233"/>
      <c r="J145" s="1233"/>
      <c r="K145" s="1233"/>
      <c r="L145" s="1236"/>
      <c r="M145" s="1291"/>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18"/>
        <v>2</v>
      </c>
      <c r="AD145" s="567" t="s">
        <v>38</v>
      </c>
      <c r="AE145" s="582" t="str">
        <f>IFERROR(ROUNDDOWN(ROUND(L143*R145,0)*M143,0)*AC145,"")</f>
        <v/>
      </c>
      <c r="AF145" s="571" t="str">
        <f>IFERROR(ROUNDDOWN(ROUND(L143*(R145-P145),0)*M143,0)*AC145,"")</f>
        <v/>
      </c>
      <c r="AG145" s="572">
        <f t="shared" si="154"/>
        <v>0</v>
      </c>
      <c r="AH145" s="451"/>
      <c r="AI145" s="452"/>
      <c r="AJ145" s="453"/>
      <c r="AK145" s="454"/>
      <c r="AL145" s="455"/>
      <c r="AM145" s="456"/>
      <c r="AN145" s="573"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5"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18"/>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88">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89">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5" customHeight="1">
      <c r="A147" s="1223"/>
      <c r="B147" s="1220"/>
      <c r="C147" s="1220"/>
      <c r="D147" s="1220"/>
      <c r="E147" s="1220"/>
      <c r="F147" s="1220"/>
      <c r="G147" s="1232"/>
      <c r="H147" s="1232"/>
      <c r="I147" s="1232"/>
      <c r="J147" s="1232"/>
      <c r="K147" s="1232"/>
      <c r="L147" s="1235"/>
      <c r="M147" s="1290"/>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18"/>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5" customHeight="1" thickBot="1">
      <c r="A148" s="1224"/>
      <c r="B148" s="1221"/>
      <c r="C148" s="1221"/>
      <c r="D148" s="1221"/>
      <c r="E148" s="1221"/>
      <c r="F148" s="1221"/>
      <c r="G148" s="1233"/>
      <c r="H148" s="1233"/>
      <c r="I148" s="1233"/>
      <c r="J148" s="1233"/>
      <c r="K148" s="1233"/>
      <c r="L148" s="1236"/>
      <c r="M148" s="1291"/>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18"/>
        <v>2</v>
      </c>
      <c r="AD148" s="567" t="s">
        <v>38</v>
      </c>
      <c r="AE148" s="582" t="str">
        <f>IFERROR(ROUNDDOWN(ROUND(L146*R148,0)*M146,0)*AC148,"")</f>
        <v/>
      </c>
      <c r="AF148" s="571" t="str">
        <f>IFERROR(ROUNDDOWN(ROUND(L146*(R148-P148),0)*M146,0)*AC148,"")</f>
        <v/>
      </c>
      <c r="AG148" s="572">
        <f t="shared" si="154"/>
        <v>0</v>
      </c>
      <c r="AH148" s="451"/>
      <c r="AI148" s="452"/>
      <c r="AJ148" s="453"/>
      <c r="AK148" s="454"/>
      <c r="AL148" s="455"/>
      <c r="AM148" s="456"/>
      <c r="AN148" s="573"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5"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18"/>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2">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3">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5" customHeight="1">
      <c r="A150" s="1223"/>
      <c r="B150" s="1220"/>
      <c r="C150" s="1220"/>
      <c r="D150" s="1220"/>
      <c r="E150" s="1220"/>
      <c r="F150" s="1220"/>
      <c r="G150" s="1232"/>
      <c r="H150" s="1232"/>
      <c r="I150" s="1232"/>
      <c r="J150" s="1232"/>
      <c r="K150" s="1232"/>
      <c r="L150" s="1235"/>
      <c r="M150" s="1290"/>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18"/>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5" customHeight="1" thickBot="1">
      <c r="A151" s="1224"/>
      <c r="B151" s="1221"/>
      <c r="C151" s="1221"/>
      <c r="D151" s="1221"/>
      <c r="E151" s="1221"/>
      <c r="F151" s="1221"/>
      <c r="G151" s="1233"/>
      <c r="H151" s="1233"/>
      <c r="I151" s="1233"/>
      <c r="J151" s="1233"/>
      <c r="K151" s="1233"/>
      <c r="L151" s="1236"/>
      <c r="M151" s="1291"/>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18"/>
        <v>2</v>
      </c>
      <c r="AD151" s="567" t="s">
        <v>38</v>
      </c>
      <c r="AE151" s="582" t="str">
        <f>IFERROR(ROUNDDOWN(ROUND(L149*R151,0)*M149,0)*AC151,"")</f>
        <v/>
      </c>
      <c r="AF151" s="571" t="str">
        <f>IFERROR(ROUNDDOWN(ROUND(L149*(R151-P151),0)*M149,0)*AC151,"")</f>
        <v/>
      </c>
      <c r="AG151" s="572">
        <f t="shared" si="154"/>
        <v>0</v>
      </c>
      <c r="AH151" s="451"/>
      <c r="AI151" s="452"/>
      <c r="AJ151" s="453"/>
      <c r="AK151" s="454"/>
      <c r="AL151" s="455"/>
      <c r="AM151" s="456"/>
      <c r="AN151" s="573"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5"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18"/>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6">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7">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5" customHeight="1">
      <c r="A153" s="1223"/>
      <c r="B153" s="1220"/>
      <c r="C153" s="1220"/>
      <c r="D153" s="1220"/>
      <c r="E153" s="1220"/>
      <c r="F153" s="1220"/>
      <c r="G153" s="1232"/>
      <c r="H153" s="1232"/>
      <c r="I153" s="1232"/>
      <c r="J153" s="1232"/>
      <c r="K153" s="1232"/>
      <c r="L153" s="1235"/>
      <c r="M153" s="1290"/>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18"/>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5" customHeight="1" thickBot="1">
      <c r="A154" s="1224"/>
      <c r="B154" s="1221"/>
      <c r="C154" s="1221"/>
      <c r="D154" s="1221"/>
      <c r="E154" s="1221"/>
      <c r="F154" s="1221"/>
      <c r="G154" s="1233"/>
      <c r="H154" s="1233"/>
      <c r="I154" s="1233"/>
      <c r="J154" s="1233"/>
      <c r="K154" s="1233"/>
      <c r="L154" s="1236"/>
      <c r="M154" s="1291"/>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18"/>
        <v>2</v>
      </c>
      <c r="AD154" s="567" t="s">
        <v>38</v>
      </c>
      <c r="AE154" s="582" t="str">
        <f>IFERROR(ROUNDDOWN(ROUND(L152*R154,0)*M152,0)*AC154,"")</f>
        <v/>
      </c>
      <c r="AF154" s="571" t="str">
        <f>IFERROR(ROUNDDOWN(ROUND(L152*(R154-P154),0)*M152,0)*AC154,"")</f>
        <v/>
      </c>
      <c r="AG154" s="572">
        <f t="shared" si="154"/>
        <v>0</v>
      </c>
      <c r="AH154" s="451"/>
      <c r="AI154" s="452"/>
      <c r="AJ154" s="453"/>
      <c r="AK154" s="454"/>
      <c r="AL154" s="455"/>
      <c r="AM154" s="456"/>
      <c r="AN154" s="573"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5"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18"/>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0">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1">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5" customHeight="1">
      <c r="A156" s="1223"/>
      <c r="B156" s="1220"/>
      <c r="C156" s="1220"/>
      <c r="D156" s="1220"/>
      <c r="E156" s="1220"/>
      <c r="F156" s="1220"/>
      <c r="G156" s="1232"/>
      <c r="H156" s="1232"/>
      <c r="I156" s="1232"/>
      <c r="J156" s="1232"/>
      <c r="K156" s="1232"/>
      <c r="L156" s="1235"/>
      <c r="M156" s="1290"/>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18"/>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5" customHeight="1" thickBot="1">
      <c r="A157" s="1224"/>
      <c r="B157" s="1221"/>
      <c r="C157" s="1221"/>
      <c r="D157" s="1221"/>
      <c r="E157" s="1221"/>
      <c r="F157" s="1221"/>
      <c r="G157" s="1233"/>
      <c r="H157" s="1233"/>
      <c r="I157" s="1233"/>
      <c r="J157" s="1233"/>
      <c r="K157" s="1233"/>
      <c r="L157" s="1236"/>
      <c r="M157" s="1291"/>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18"/>
        <v>2</v>
      </c>
      <c r="AD157" s="567" t="s">
        <v>38</v>
      </c>
      <c r="AE157" s="582" t="str">
        <f>IFERROR(ROUNDDOWN(ROUND(L155*R157,0)*M155,0)*AC157,"")</f>
        <v/>
      </c>
      <c r="AF157" s="571" t="str">
        <f>IFERROR(ROUNDDOWN(ROUND(L155*(R157-P157),0)*M155,0)*AC157,"")</f>
        <v/>
      </c>
      <c r="AG157" s="572">
        <f t="shared" si="154"/>
        <v>0</v>
      </c>
      <c r="AH157" s="451"/>
      <c r="AI157" s="452"/>
      <c r="AJ157" s="453"/>
      <c r="AK157" s="454"/>
      <c r="AL157" s="455"/>
      <c r="AM157" s="456"/>
      <c r="AN157" s="573"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5"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18"/>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4">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5">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5" customHeight="1">
      <c r="A159" s="1223"/>
      <c r="B159" s="1220"/>
      <c r="C159" s="1220"/>
      <c r="D159" s="1220"/>
      <c r="E159" s="1220"/>
      <c r="F159" s="1220"/>
      <c r="G159" s="1232"/>
      <c r="H159" s="1232"/>
      <c r="I159" s="1232"/>
      <c r="J159" s="1232"/>
      <c r="K159" s="1232"/>
      <c r="L159" s="1235"/>
      <c r="M159" s="1290"/>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6">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5" customHeight="1" thickBot="1">
      <c r="A160" s="1224"/>
      <c r="B160" s="1221"/>
      <c r="C160" s="1221"/>
      <c r="D160" s="1221"/>
      <c r="E160" s="1221"/>
      <c r="F160" s="1221"/>
      <c r="G160" s="1233"/>
      <c r="H160" s="1233"/>
      <c r="I160" s="1233"/>
      <c r="J160" s="1233"/>
      <c r="K160" s="1233"/>
      <c r="L160" s="1236"/>
      <c r="M160" s="1291"/>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6"/>
        <v>2</v>
      </c>
      <c r="AD160" s="567" t="s">
        <v>38</v>
      </c>
      <c r="AE160" s="582" t="str">
        <f>IFERROR(ROUNDDOWN(ROUND(L158*R160,0)*M158,0)*AC160,"")</f>
        <v/>
      </c>
      <c r="AF160" s="571" t="str">
        <f>IFERROR(ROUNDDOWN(ROUND(L158*(R160-P160),0)*M158,0)*AC160,"")</f>
        <v/>
      </c>
      <c r="AG160" s="572">
        <f t="shared" si="154"/>
        <v>0</v>
      </c>
      <c r="AH160" s="451"/>
      <c r="AI160" s="452"/>
      <c r="AJ160" s="453"/>
      <c r="AK160" s="454"/>
      <c r="AL160" s="455"/>
      <c r="AM160" s="456"/>
      <c r="AN160" s="573"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5"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6"/>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09">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0">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5" customHeight="1">
      <c r="A162" s="1223"/>
      <c r="B162" s="1220"/>
      <c r="C162" s="1220"/>
      <c r="D162" s="1220"/>
      <c r="E162" s="1220"/>
      <c r="F162" s="1220"/>
      <c r="G162" s="1232"/>
      <c r="H162" s="1232"/>
      <c r="I162" s="1232"/>
      <c r="J162" s="1232"/>
      <c r="K162" s="1232"/>
      <c r="L162" s="1235"/>
      <c r="M162" s="1290"/>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6"/>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5" customHeight="1" thickBot="1">
      <c r="A163" s="1224"/>
      <c r="B163" s="1221"/>
      <c r="C163" s="1221"/>
      <c r="D163" s="1221"/>
      <c r="E163" s="1221"/>
      <c r="F163" s="1221"/>
      <c r="G163" s="1233"/>
      <c r="H163" s="1233"/>
      <c r="I163" s="1233"/>
      <c r="J163" s="1233"/>
      <c r="K163" s="1233"/>
      <c r="L163" s="1236"/>
      <c r="M163" s="1291"/>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6"/>
        <v>2</v>
      </c>
      <c r="AD163" s="567" t="s">
        <v>38</v>
      </c>
      <c r="AE163" s="582" t="str">
        <f>IFERROR(ROUNDDOWN(ROUND(L161*R163,0)*M161,0)*AC163,"")</f>
        <v/>
      </c>
      <c r="AF163" s="571" t="str">
        <f>IFERROR(ROUNDDOWN(ROUND(L161*(R163-P163),0)*M161,0)*AC163,"")</f>
        <v/>
      </c>
      <c r="AG163" s="572">
        <f t="shared" si="154"/>
        <v>0</v>
      </c>
      <c r="AH163" s="451"/>
      <c r="AI163" s="452"/>
      <c r="AJ163" s="453"/>
      <c r="AK163" s="454"/>
      <c r="AL163" s="455"/>
      <c r="AM163" s="456"/>
      <c r="AN163" s="573"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5"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6"/>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3">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4">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5" customHeight="1">
      <c r="A165" s="1223"/>
      <c r="B165" s="1220"/>
      <c r="C165" s="1220"/>
      <c r="D165" s="1220"/>
      <c r="E165" s="1220"/>
      <c r="F165" s="1220"/>
      <c r="G165" s="1232"/>
      <c r="H165" s="1232"/>
      <c r="I165" s="1232"/>
      <c r="J165" s="1232"/>
      <c r="K165" s="1232"/>
      <c r="L165" s="1235"/>
      <c r="M165" s="1290"/>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6"/>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5" customHeight="1" thickBot="1">
      <c r="A166" s="1224"/>
      <c r="B166" s="1221"/>
      <c r="C166" s="1221"/>
      <c r="D166" s="1221"/>
      <c r="E166" s="1221"/>
      <c r="F166" s="1221"/>
      <c r="G166" s="1233"/>
      <c r="H166" s="1233"/>
      <c r="I166" s="1233"/>
      <c r="J166" s="1233"/>
      <c r="K166" s="1233"/>
      <c r="L166" s="1236"/>
      <c r="M166" s="1291"/>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6"/>
        <v>2</v>
      </c>
      <c r="AD166" s="567" t="s">
        <v>38</v>
      </c>
      <c r="AE166" s="582" t="str">
        <f>IFERROR(ROUNDDOWN(ROUND(L164*R166,0)*M164,0)*AC166,"")</f>
        <v/>
      </c>
      <c r="AF166" s="571" t="str">
        <f>IFERROR(ROUNDDOWN(ROUND(L164*(R166-P166),0)*M164,0)*AC166,"")</f>
        <v/>
      </c>
      <c r="AG166" s="572">
        <f t="shared" si="154"/>
        <v>0</v>
      </c>
      <c r="AH166" s="451"/>
      <c r="AI166" s="452"/>
      <c r="AJ166" s="453"/>
      <c r="AK166" s="454"/>
      <c r="AL166" s="455"/>
      <c r="AM166" s="456"/>
      <c r="AN166" s="573"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5"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6"/>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7">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18">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5" customHeight="1">
      <c r="A168" s="1223"/>
      <c r="B168" s="1220"/>
      <c r="C168" s="1220"/>
      <c r="D168" s="1220"/>
      <c r="E168" s="1220"/>
      <c r="F168" s="1220"/>
      <c r="G168" s="1232"/>
      <c r="H168" s="1232"/>
      <c r="I168" s="1232"/>
      <c r="J168" s="1232"/>
      <c r="K168" s="1232"/>
      <c r="L168" s="1235"/>
      <c r="M168" s="1290"/>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6"/>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5" customHeight="1" thickBot="1">
      <c r="A169" s="1224"/>
      <c r="B169" s="1221"/>
      <c r="C169" s="1221"/>
      <c r="D169" s="1221"/>
      <c r="E169" s="1221"/>
      <c r="F169" s="1221"/>
      <c r="G169" s="1233"/>
      <c r="H169" s="1233"/>
      <c r="I169" s="1233"/>
      <c r="J169" s="1233"/>
      <c r="K169" s="1233"/>
      <c r="L169" s="1236"/>
      <c r="M169" s="1291"/>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6"/>
        <v>2</v>
      </c>
      <c r="AD169" s="567" t="s">
        <v>38</v>
      </c>
      <c r="AE169" s="582" t="str">
        <f>IFERROR(ROUNDDOWN(ROUND(L167*R169,0)*M167,0)*AC169,"")</f>
        <v/>
      </c>
      <c r="AF169" s="571" t="str">
        <f>IFERROR(ROUNDDOWN(ROUND(L167*(R169-P169),0)*M167,0)*AC169,"")</f>
        <v/>
      </c>
      <c r="AG169" s="572">
        <f t="shared" si="154"/>
        <v>0</v>
      </c>
      <c r="AH169" s="451"/>
      <c r="AI169" s="452"/>
      <c r="AJ169" s="453"/>
      <c r="AK169" s="454"/>
      <c r="AL169" s="455"/>
      <c r="AM169" s="456"/>
      <c r="AN169" s="573"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5"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6"/>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1">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2">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5" customHeight="1">
      <c r="A171" s="1223"/>
      <c r="B171" s="1220"/>
      <c r="C171" s="1220"/>
      <c r="D171" s="1220"/>
      <c r="E171" s="1220"/>
      <c r="F171" s="1220"/>
      <c r="G171" s="1232"/>
      <c r="H171" s="1232"/>
      <c r="I171" s="1232"/>
      <c r="J171" s="1232"/>
      <c r="K171" s="1232"/>
      <c r="L171" s="1235"/>
      <c r="M171" s="1290"/>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6"/>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5" customHeight="1" thickBot="1">
      <c r="A172" s="1224"/>
      <c r="B172" s="1221"/>
      <c r="C172" s="1221"/>
      <c r="D172" s="1221"/>
      <c r="E172" s="1221"/>
      <c r="F172" s="1221"/>
      <c r="G172" s="1233"/>
      <c r="H172" s="1233"/>
      <c r="I172" s="1233"/>
      <c r="J172" s="1233"/>
      <c r="K172" s="1233"/>
      <c r="L172" s="1236"/>
      <c r="M172" s="1291"/>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6"/>
        <v>2</v>
      </c>
      <c r="AD172" s="567" t="s">
        <v>38</v>
      </c>
      <c r="AE172" s="582" t="str">
        <f>IFERROR(ROUNDDOWN(ROUND(L170*R172,0)*M170,0)*AC172,"")</f>
        <v/>
      </c>
      <c r="AF172" s="571" t="str">
        <f>IFERROR(ROUNDDOWN(ROUND(L170*(R172-P172),0)*M170,0)*AC172,"")</f>
        <v/>
      </c>
      <c r="AG172" s="572">
        <f t="shared" si="154"/>
        <v>0</v>
      </c>
      <c r="AH172" s="451"/>
      <c r="AI172" s="452"/>
      <c r="AJ172" s="453"/>
      <c r="AK172" s="454"/>
      <c r="AL172" s="455"/>
      <c r="AM172" s="456"/>
      <c r="AN172" s="573"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5"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6"/>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5">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6">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5" customHeight="1">
      <c r="A174" s="1223"/>
      <c r="B174" s="1220"/>
      <c r="C174" s="1220"/>
      <c r="D174" s="1220"/>
      <c r="E174" s="1220"/>
      <c r="F174" s="1220"/>
      <c r="G174" s="1232"/>
      <c r="H174" s="1232"/>
      <c r="I174" s="1232"/>
      <c r="J174" s="1232"/>
      <c r="K174" s="1232"/>
      <c r="L174" s="1235"/>
      <c r="M174" s="1290"/>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6"/>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5" customHeight="1" thickBot="1">
      <c r="A175" s="1224"/>
      <c r="B175" s="1221"/>
      <c r="C175" s="1221"/>
      <c r="D175" s="1221"/>
      <c r="E175" s="1221"/>
      <c r="F175" s="1221"/>
      <c r="G175" s="1233"/>
      <c r="H175" s="1233"/>
      <c r="I175" s="1233"/>
      <c r="J175" s="1233"/>
      <c r="K175" s="1233"/>
      <c r="L175" s="1236"/>
      <c r="M175" s="1291"/>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6"/>
        <v>2</v>
      </c>
      <c r="AD175" s="567" t="s">
        <v>38</v>
      </c>
      <c r="AE175" s="582" t="str">
        <f>IFERROR(ROUNDDOWN(ROUND(L173*R175,0)*M173,0)*AC175,"")</f>
        <v/>
      </c>
      <c r="AF175" s="571" t="str">
        <f>IFERROR(ROUNDDOWN(ROUND(L173*(R175-P175),0)*M173,0)*AC175,"")</f>
        <v/>
      </c>
      <c r="AG175" s="572">
        <f t="shared" si="154"/>
        <v>0</v>
      </c>
      <c r="AH175" s="451"/>
      <c r="AI175" s="452"/>
      <c r="AJ175" s="453"/>
      <c r="AK175" s="454"/>
      <c r="AL175" s="455"/>
      <c r="AM175" s="456"/>
      <c r="AN175" s="573"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5"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6"/>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29">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0">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5" customHeight="1">
      <c r="A177" s="1223"/>
      <c r="B177" s="1220"/>
      <c r="C177" s="1220"/>
      <c r="D177" s="1220"/>
      <c r="E177" s="1220"/>
      <c r="F177" s="1220"/>
      <c r="G177" s="1232"/>
      <c r="H177" s="1232"/>
      <c r="I177" s="1232"/>
      <c r="J177" s="1232"/>
      <c r="K177" s="1232"/>
      <c r="L177" s="1235"/>
      <c r="M177" s="1290"/>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6"/>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5" customHeight="1" thickBot="1">
      <c r="A178" s="1224"/>
      <c r="B178" s="1221"/>
      <c r="C178" s="1221"/>
      <c r="D178" s="1221"/>
      <c r="E178" s="1221"/>
      <c r="F178" s="1221"/>
      <c r="G178" s="1233"/>
      <c r="H178" s="1233"/>
      <c r="I178" s="1233"/>
      <c r="J178" s="1233"/>
      <c r="K178" s="1233"/>
      <c r="L178" s="1236"/>
      <c r="M178" s="1291"/>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6"/>
        <v>2</v>
      </c>
      <c r="AD178" s="567" t="s">
        <v>38</v>
      </c>
      <c r="AE178" s="582" t="str">
        <f>IFERROR(ROUNDDOWN(ROUND(L176*R178,0)*M176,0)*AC178,"")</f>
        <v/>
      </c>
      <c r="AF178" s="571" t="str">
        <f>IFERROR(ROUNDDOWN(ROUND(L176*(R178-P178),0)*M176,0)*AC178,"")</f>
        <v/>
      </c>
      <c r="AG178" s="572">
        <f t="shared" si="154"/>
        <v>0</v>
      </c>
      <c r="AH178" s="451"/>
      <c r="AI178" s="452"/>
      <c r="AJ178" s="453"/>
      <c r="AK178" s="454"/>
      <c r="AL178" s="455"/>
      <c r="AM178" s="456"/>
      <c r="AN178" s="573"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5"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6"/>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3">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4">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5" customHeight="1">
      <c r="A180" s="1223"/>
      <c r="B180" s="1220"/>
      <c r="C180" s="1220"/>
      <c r="D180" s="1220"/>
      <c r="E180" s="1220"/>
      <c r="F180" s="1220"/>
      <c r="G180" s="1232"/>
      <c r="H180" s="1232"/>
      <c r="I180" s="1232"/>
      <c r="J180" s="1232"/>
      <c r="K180" s="1232"/>
      <c r="L180" s="1235"/>
      <c r="M180" s="1290"/>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6"/>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5" customHeight="1" thickBot="1">
      <c r="A181" s="1224"/>
      <c r="B181" s="1221"/>
      <c r="C181" s="1221"/>
      <c r="D181" s="1221"/>
      <c r="E181" s="1221"/>
      <c r="F181" s="1221"/>
      <c r="G181" s="1233"/>
      <c r="H181" s="1233"/>
      <c r="I181" s="1233"/>
      <c r="J181" s="1233"/>
      <c r="K181" s="1233"/>
      <c r="L181" s="1236"/>
      <c r="M181" s="1291"/>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6"/>
        <v>2</v>
      </c>
      <c r="AD181" s="567" t="s">
        <v>38</v>
      </c>
      <c r="AE181" s="582" t="str">
        <f>IFERROR(ROUNDDOWN(ROUND(L179*R181,0)*M179,0)*AC181,"")</f>
        <v/>
      </c>
      <c r="AF181" s="571" t="str">
        <f>IFERROR(ROUNDDOWN(ROUND(L179*(R181-P181),0)*M179,0)*AC181,"")</f>
        <v/>
      </c>
      <c r="AG181" s="572">
        <f t="shared" si="154"/>
        <v>0</v>
      </c>
      <c r="AH181" s="451"/>
      <c r="AI181" s="452"/>
      <c r="AJ181" s="453"/>
      <c r="AK181" s="454"/>
      <c r="AL181" s="455"/>
      <c r="AM181" s="456"/>
      <c r="AN181" s="573"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5"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6"/>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7">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38">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5" customHeight="1">
      <c r="A183" s="1223"/>
      <c r="B183" s="1220"/>
      <c r="C183" s="1220"/>
      <c r="D183" s="1220"/>
      <c r="E183" s="1220"/>
      <c r="F183" s="1220"/>
      <c r="G183" s="1232"/>
      <c r="H183" s="1232"/>
      <c r="I183" s="1232"/>
      <c r="J183" s="1232"/>
      <c r="K183" s="1232"/>
      <c r="L183" s="1235"/>
      <c r="M183" s="1290"/>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6"/>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5" customHeight="1" thickBot="1">
      <c r="A184" s="1224"/>
      <c r="B184" s="1221"/>
      <c r="C184" s="1221"/>
      <c r="D184" s="1221"/>
      <c r="E184" s="1221"/>
      <c r="F184" s="1221"/>
      <c r="G184" s="1233"/>
      <c r="H184" s="1233"/>
      <c r="I184" s="1233"/>
      <c r="J184" s="1233"/>
      <c r="K184" s="1233"/>
      <c r="L184" s="1236"/>
      <c r="M184" s="1291"/>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6"/>
        <v>2</v>
      </c>
      <c r="AD184" s="567" t="s">
        <v>38</v>
      </c>
      <c r="AE184" s="582" t="str">
        <f>IFERROR(ROUNDDOWN(ROUND(L182*R184,0)*M182,0)*AC184,"")</f>
        <v/>
      </c>
      <c r="AF184" s="571" t="str">
        <f>IFERROR(ROUNDDOWN(ROUND(L182*(R184-P184),0)*M182,0)*AC184,"")</f>
        <v/>
      </c>
      <c r="AG184" s="572">
        <f t="shared" si="154"/>
        <v>0</v>
      </c>
      <c r="AH184" s="451"/>
      <c r="AI184" s="452"/>
      <c r="AJ184" s="453"/>
      <c r="AK184" s="454"/>
      <c r="AL184" s="455"/>
      <c r="AM184" s="456"/>
      <c r="AN184" s="573"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5"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6"/>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1">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2">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5" customHeight="1">
      <c r="A186" s="1223"/>
      <c r="B186" s="1220"/>
      <c r="C186" s="1220"/>
      <c r="D186" s="1220"/>
      <c r="E186" s="1220"/>
      <c r="F186" s="1220"/>
      <c r="G186" s="1232"/>
      <c r="H186" s="1232"/>
      <c r="I186" s="1232"/>
      <c r="J186" s="1232"/>
      <c r="K186" s="1232"/>
      <c r="L186" s="1235"/>
      <c r="M186" s="1290"/>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6"/>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5" customHeight="1" thickBot="1">
      <c r="A187" s="1224"/>
      <c r="B187" s="1221"/>
      <c r="C187" s="1221"/>
      <c r="D187" s="1221"/>
      <c r="E187" s="1221"/>
      <c r="F187" s="1221"/>
      <c r="G187" s="1233"/>
      <c r="H187" s="1233"/>
      <c r="I187" s="1233"/>
      <c r="J187" s="1233"/>
      <c r="K187" s="1233"/>
      <c r="L187" s="1236"/>
      <c r="M187" s="1291"/>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6"/>
        <v>2</v>
      </c>
      <c r="AD187" s="567" t="s">
        <v>38</v>
      </c>
      <c r="AE187" s="582" t="str">
        <f>IFERROR(ROUNDDOWN(ROUND(L185*R187,0)*M185,0)*AC187,"")</f>
        <v/>
      </c>
      <c r="AF187" s="571" t="str">
        <f>IFERROR(ROUNDDOWN(ROUND(L185*(R187-P187),0)*M185,0)*AC187,"")</f>
        <v/>
      </c>
      <c r="AG187" s="572">
        <f t="shared" ref="AG187:AG250" si="244">IF(AND(O187="ベア加算なし",Q187="ベア加算"),AE187,0)</f>
        <v>0</v>
      </c>
      <c r="AH187" s="451"/>
      <c r="AI187" s="452"/>
      <c r="AJ187" s="453"/>
      <c r="AK187" s="454"/>
      <c r="AL187" s="455"/>
      <c r="AM187" s="456"/>
      <c r="AN187" s="573"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5"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6"/>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6">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7">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5" customHeight="1">
      <c r="A189" s="1223"/>
      <c r="B189" s="1220"/>
      <c r="C189" s="1220"/>
      <c r="D189" s="1220"/>
      <c r="E189" s="1220"/>
      <c r="F189" s="1220"/>
      <c r="G189" s="1232"/>
      <c r="H189" s="1232"/>
      <c r="I189" s="1232"/>
      <c r="J189" s="1232"/>
      <c r="K189" s="1232"/>
      <c r="L189" s="1235"/>
      <c r="M189" s="1290"/>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6"/>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5" customHeight="1" thickBot="1">
      <c r="A190" s="1224"/>
      <c r="B190" s="1221"/>
      <c r="C190" s="1221"/>
      <c r="D190" s="1221"/>
      <c r="E190" s="1221"/>
      <c r="F190" s="1221"/>
      <c r="G190" s="1233"/>
      <c r="H190" s="1233"/>
      <c r="I190" s="1233"/>
      <c r="J190" s="1233"/>
      <c r="K190" s="1233"/>
      <c r="L190" s="1236"/>
      <c r="M190" s="1291"/>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6"/>
        <v>2</v>
      </c>
      <c r="AD190" s="567" t="s">
        <v>38</v>
      </c>
      <c r="AE190" s="582" t="str">
        <f>IFERROR(ROUNDDOWN(ROUND(L188*R190,0)*M188,0)*AC190,"")</f>
        <v/>
      </c>
      <c r="AF190" s="571" t="str">
        <f>IFERROR(ROUNDDOWN(ROUND(L188*(R190-P190),0)*M188,0)*AC190,"")</f>
        <v/>
      </c>
      <c r="AG190" s="572">
        <f t="shared" si="244"/>
        <v>0</v>
      </c>
      <c r="AH190" s="451"/>
      <c r="AI190" s="452"/>
      <c r="AJ190" s="453"/>
      <c r="AK190" s="454"/>
      <c r="AL190" s="455"/>
      <c r="AM190" s="456"/>
      <c r="AN190" s="573"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5"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6"/>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0">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1">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5" customHeight="1">
      <c r="A192" s="1223"/>
      <c r="B192" s="1220"/>
      <c r="C192" s="1220"/>
      <c r="D192" s="1220"/>
      <c r="E192" s="1220"/>
      <c r="F192" s="1220"/>
      <c r="G192" s="1232"/>
      <c r="H192" s="1232"/>
      <c r="I192" s="1232"/>
      <c r="J192" s="1232"/>
      <c r="K192" s="1232"/>
      <c r="L192" s="1235"/>
      <c r="M192" s="1290"/>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6"/>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5" customHeight="1" thickBot="1">
      <c r="A193" s="1224"/>
      <c r="B193" s="1221"/>
      <c r="C193" s="1221"/>
      <c r="D193" s="1221"/>
      <c r="E193" s="1221"/>
      <c r="F193" s="1221"/>
      <c r="G193" s="1233"/>
      <c r="H193" s="1233"/>
      <c r="I193" s="1233"/>
      <c r="J193" s="1233"/>
      <c r="K193" s="1233"/>
      <c r="L193" s="1236"/>
      <c r="M193" s="1291"/>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6"/>
        <v>2</v>
      </c>
      <c r="AD193" s="567" t="s">
        <v>38</v>
      </c>
      <c r="AE193" s="582" t="str">
        <f>IFERROR(ROUNDDOWN(ROUND(L191*R193,0)*M191,0)*AC193,"")</f>
        <v/>
      </c>
      <c r="AF193" s="571" t="str">
        <f>IFERROR(ROUNDDOWN(ROUND(L191*(R193-P193),0)*M191,0)*AC193,"")</f>
        <v/>
      </c>
      <c r="AG193" s="572">
        <f t="shared" si="244"/>
        <v>0</v>
      </c>
      <c r="AH193" s="451"/>
      <c r="AI193" s="452"/>
      <c r="AJ193" s="453"/>
      <c r="AK193" s="454"/>
      <c r="AL193" s="455"/>
      <c r="AM193" s="456"/>
      <c r="AN193" s="573"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5"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6"/>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4">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5">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5" customHeight="1">
      <c r="A195" s="1223"/>
      <c r="B195" s="1220"/>
      <c r="C195" s="1220"/>
      <c r="D195" s="1220"/>
      <c r="E195" s="1220"/>
      <c r="F195" s="1220"/>
      <c r="G195" s="1232"/>
      <c r="H195" s="1232"/>
      <c r="I195" s="1232"/>
      <c r="J195" s="1232"/>
      <c r="K195" s="1232"/>
      <c r="L195" s="1235"/>
      <c r="M195" s="1290"/>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6"/>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5" customHeight="1" thickBot="1">
      <c r="A196" s="1224"/>
      <c r="B196" s="1221"/>
      <c r="C196" s="1221"/>
      <c r="D196" s="1221"/>
      <c r="E196" s="1221"/>
      <c r="F196" s="1221"/>
      <c r="G196" s="1233"/>
      <c r="H196" s="1233"/>
      <c r="I196" s="1233"/>
      <c r="J196" s="1233"/>
      <c r="K196" s="1233"/>
      <c r="L196" s="1236"/>
      <c r="M196" s="1291"/>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6"/>
        <v>2</v>
      </c>
      <c r="AD196" s="567" t="s">
        <v>38</v>
      </c>
      <c r="AE196" s="582" t="str">
        <f>IFERROR(ROUNDDOWN(ROUND(L194*R196,0)*M194,0)*AC196,"")</f>
        <v/>
      </c>
      <c r="AF196" s="571" t="str">
        <f>IFERROR(ROUNDDOWN(ROUND(L194*(R196-P196),0)*M194,0)*AC196,"")</f>
        <v/>
      </c>
      <c r="AG196" s="572">
        <f t="shared" si="244"/>
        <v>0</v>
      </c>
      <c r="AH196" s="451"/>
      <c r="AI196" s="452"/>
      <c r="AJ196" s="453"/>
      <c r="AK196" s="454"/>
      <c r="AL196" s="455"/>
      <c r="AM196" s="456"/>
      <c r="AN196" s="573"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5"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6"/>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58">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59">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5" customHeight="1">
      <c r="A198" s="1223"/>
      <c r="B198" s="1220"/>
      <c r="C198" s="1220"/>
      <c r="D198" s="1220"/>
      <c r="E198" s="1220"/>
      <c r="F198" s="1220"/>
      <c r="G198" s="1232"/>
      <c r="H198" s="1232"/>
      <c r="I198" s="1232"/>
      <c r="J198" s="1232"/>
      <c r="K198" s="1232"/>
      <c r="L198" s="1235"/>
      <c r="M198" s="1290"/>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6"/>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5" customHeight="1" thickBot="1">
      <c r="A199" s="1224"/>
      <c r="B199" s="1221"/>
      <c r="C199" s="1221"/>
      <c r="D199" s="1221"/>
      <c r="E199" s="1221"/>
      <c r="F199" s="1221"/>
      <c r="G199" s="1233"/>
      <c r="H199" s="1233"/>
      <c r="I199" s="1233"/>
      <c r="J199" s="1233"/>
      <c r="K199" s="1233"/>
      <c r="L199" s="1236"/>
      <c r="M199" s="1291"/>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6"/>
        <v>2</v>
      </c>
      <c r="AD199" s="567" t="s">
        <v>38</v>
      </c>
      <c r="AE199" s="582" t="str">
        <f>IFERROR(ROUNDDOWN(ROUND(L197*R199,0)*M197,0)*AC199,"")</f>
        <v/>
      </c>
      <c r="AF199" s="571" t="str">
        <f>IFERROR(ROUNDDOWN(ROUND(L197*(R199-P199),0)*M197,0)*AC199,"")</f>
        <v/>
      </c>
      <c r="AG199" s="572">
        <f t="shared" si="244"/>
        <v>0</v>
      </c>
      <c r="AH199" s="451"/>
      <c r="AI199" s="452"/>
      <c r="AJ199" s="453"/>
      <c r="AK199" s="454"/>
      <c r="AL199" s="455"/>
      <c r="AM199" s="456"/>
      <c r="AN199" s="573"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5"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6"/>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2">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3">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5" customHeight="1">
      <c r="A201" s="1223"/>
      <c r="B201" s="1220"/>
      <c r="C201" s="1220"/>
      <c r="D201" s="1220"/>
      <c r="E201" s="1220"/>
      <c r="F201" s="1220"/>
      <c r="G201" s="1232"/>
      <c r="H201" s="1232"/>
      <c r="I201" s="1232"/>
      <c r="J201" s="1232"/>
      <c r="K201" s="1232"/>
      <c r="L201" s="1235"/>
      <c r="M201" s="1290"/>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6"/>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5" customHeight="1" thickBot="1">
      <c r="A202" s="1224"/>
      <c r="B202" s="1221"/>
      <c r="C202" s="1221"/>
      <c r="D202" s="1221"/>
      <c r="E202" s="1221"/>
      <c r="F202" s="1221"/>
      <c r="G202" s="1233"/>
      <c r="H202" s="1233"/>
      <c r="I202" s="1233"/>
      <c r="J202" s="1233"/>
      <c r="K202" s="1233"/>
      <c r="L202" s="1236"/>
      <c r="M202" s="1291"/>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6"/>
        <v>2</v>
      </c>
      <c r="AD202" s="567" t="s">
        <v>38</v>
      </c>
      <c r="AE202" s="582" t="str">
        <f>IFERROR(ROUNDDOWN(ROUND(L200*R202,0)*M200,0)*AC202,"")</f>
        <v/>
      </c>
      <c r="AF202" s="571" t="str">
        <f>IFERROR(ROUNDDOWN(ROUND(L200*(R202-P202),0)*M200,0)*AC202,"")</f>
        <v/>
      </c>
      <c r="AG202" s="572">
        <f t="shared" si="244"/>
        <v>0</v>
      </c>
      <c r="AH202" s="451"/>
      <c r="AI202" s="452"/>
      <c r="AJ202" s="453"/>
      <c r="AK202" s="454"/>
      <c r="AL202" s="455"/>
      <c r="AM202" s="456"/>
      <c r="AN202" s="573"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5"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6"/>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6">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7">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5" customHeight="1">
      <c r="A204" s="1223"/>
      <c r="B204" s="1220"/>
      <c r="C204" s="1220"/>
      <c r="D204" s="1220"/>
      <c r="E204" s="1220"/>
      <c r="F204" s="1220"/>
      <c r="G204" s="1232"/>
      <c r="H204" s="1232"/>
      <c r="I204" s="1232"/>
      <c r="J204" s="1232"/>
      <c r="K204" s="1232"/>
      <c r="L204" s="1235"/>
      <c r="M204" s="1290"/>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6"/>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5" customHeight="1" thickBot="1">
      <c r="A205" s="1224"/>
      <c r="B205" s="1221"/>
      <c r="C205" s="1221"/>
      <c r="D205" s="1221"/>
      <c r="E205" s="1221"/>
      <c r="F205" s="1221"/>
      <c r="G205" s="1233"/>
      <c r="H205" s="1233"/>
      <c r="I205" s="1233"/>
      <c r="J205" s="1233"/>
      <c r="K205" s="1233"/>
      <c r="L205" s="1236"/>
      <c r="M205" s="1291"/>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6"/>
        <v>2</v>
      </c>
      <c r="AD205" s="567" t="s">
        <v>38</v>
      </c>
      <c r="AE205" s="582" t="str">
        <f>IFERROR(ROUNDDOWN(ROUND(L203*R205,0)*M203,0)*AC205,"")</f>
        <v/>
      </c>
      <c r="AF205" s="571" t="str">
        <f>IFERROR(ROUNDDOWN(ROUND(L203*(R205-P205),0)*M203,0)*AC205,"")</f>
        <v/>
      </c>
      <c r="AG205" s="572">
        <f t="shared" si="244"/>
        <v>0</v>
      </c>
      <c r="AH205" s="451"/>
      <c r="AI205" s="452"/>
      <c r="AJ205" s="453"/>
      <c r="AK205" s="454"/>
      <c r="AL205" s="455"/>
      <c r="AM205" s="456"/>
      <c r="AN205" s="573"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5"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6"/>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0">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1">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5" customHeight="1">
      <c r="A207" s="1223"/>
      <c r="B207" s="1220"/>
      <c r="C207" s="1220"/>
      <c r="D207" s="1220"/>
      <c r="E207" s="1220"/>
      <c r="F207" s="1220"/>
      <c r="G207" s="1232"/>
      <c r="H207" s="1232"/>
      <c r="I207" s="1232"/>
      <c r="J207" s="1232"/>
      <c r="K207" s="1232"/>
      <c r="L207" s="1235"/>
      <c r="M207" s="1290"/>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6"/>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5" customHeight="1" thickBot="1">
      <c r="A208" s="1224"/>
      <c r="B208" s="1221"/>
      <c r="C208" s="1221"/>
      <c r="D208" s="1221"/>
      <c r="E208" s="1221"/>
      <c r="F208" s="1221"/>
      <c r="G208" s="1233"/>
      <c r="H208" s="1233"/>
      <c r="I208" s="1233"/>
      <c r="J208" s="1233"/>
      <c r="K208" s="1233"/>
      <c r="L208" s="1236"/>
      <c r="M208" s="1291"/>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6"/>
        <v>2</v>
      </c>
      <c r="AD208" s="567" t="s">
        <v>38</v>
      </c>
      <c r="AE208" s="582" t="str">
        <f>IFERROR(ROUNDDOWN(ROUND(L206*R208,0)*M206,0)*AC208,"")</f>
        <v/>
      </c>
      <c r="AF208" s="571" t="str">
        <f>IFERROR(ROUNDDOWN(ROUND(L206*(R208-P208),0)*M206,0)*AC208,"")</f>
        <v/>
      </c>
      <c r="AG208" s="572">
        <f t="shared" si="244"/>
        <v>0</v>
      </c>
      <c r="AH208" s="451"/>
      <c r="AI208" s="452"/>
      <c r="AJ208" s="453"/>
      <c r="AK208" s="454"/>
      <c r="AL208" s="455"/>
      <c r="AM208" s="456"/>
      <c r="AN208" s="573"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5"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6"/>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4">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5">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5" customHeight="1">
      <c r="A210" s="1223"/>
      <c r="B210" s="1220"/>
      <c r="C210" s="1220"/>
      <c r="D210" s="1220"/>
      <c r="E210" s="1220"/>
      <c r="F210" s="1220"/>
      <c r="G210" s="1232"/>
      <c r="H210" s="1232"/>
      <c r="I210" s="1232"/>
      <c r="J210" s="1232"/>
      <c r="K210" s="1232"/>
      <c r="L210" s="1235"/>
      <c r="M210" s="1290"/>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6"/>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5" customHeight="1" thickBot="1">
      <c r="A211" s="1224"/>
      <c r="B211" s="1221"/>
      <c r="C211" s="1221"/>
      <c r="D211" s="1221"/>
      <c r="E211" s="1221"/>
      <c r="F211" s="1221"/>
      <c r="G211" s="1233"/>
      <c r="H211" s="1233"/>
      <c r="I211" s="1233"/>
      <c r="J211" s="1233"/>
      <c r="K211" s="1233"/>
      <c r="L211" s="1236"/>
      <c r="M211" s="1291"/>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6"/>
        <v>2</v>
      </c>
      <c r="AD211" s="567" t="s">
        <v>38</v>
      </c>
      <c r="AE211" s="582" t="str">
        <f>IFERROR(ROUNDDOWN(ROUND(L209*R211,0)*M209,0)*AC211,"")</f>
        <v/>
      </c>
      <c r="AF211" s="571" t="str">
        <f>IFERROR(ROUNDDOWN(ROUND(L209*(R211-P211),0)*M209,0)*AC211,"")</f>
        <v/>
      </c>
      <c r="AG211" s="572">
        <f t="shared" si="244"/>
        <v>0</v>
      </c>
      <c r="AH211" s="451"/>
      <c r="AI211" s="452"/>
      <c r="AJ211" s="453"/>
      <c r="AK211" s="454"/>
      <c r="AL211" s="455"/>
      <c r="AM211" s="456"/>
      <c r="AN211" s="573"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5"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6"/>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78">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79">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5" customHeight="1">
      <c r="A213" s="1223"/>
      <c r="B213" s="1220"/>
      <c r="C213" s="1220"/>
      <c r="D213" s="1220"/>
      <c r="E213" s="1220"/>
      <c r="F213" s="1220"/>
      <c r="G213" s="1232"/>
      <c r="H213" s="1232"/>
      <c r="I213" s="1232"/>
      <c r="J213" s="1232"/>
      <c r="K213" s="1232"/>
      <c r="L213" s="1235"/>
      <c r="M213" s="1290"/>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6"/>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5" customHeight="1" thickBot="1">
      <c r="A214" s="1224"/>
      <c r="B214" s="1221"/>
      <c r="C214" s="1221"/>
      <c r="D214" s="1221"/>
      <c r="E214" s="1221"/>
      <c r="F214" s="1221"/>
      <c r="G214" s="1233"/>
      <c r="H214" s="1233"/>
      <c r="I214" s="1233"/>
      <c r="J214" s="1233"/>
      <c r="K214" s="1233"/>
      <c r="L214" s="1236"/>
      <c r="M214" s="1291"/>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6"/>
        <v>2</v>
      </c>
      <c r="AD214" s="567" t="s">
        <v>38</v>
      </c>
      <c r="AE214" s="582" t="str">
        <f>IFERROR(ROUNDDOWN(ROUND(L212*R214,0)*M212,0)*AC214,"")</f>
        <v/>
      </c>
      <c r="AF214" s="571" t="str">
        <f>IFERROR(ROUNDDOWN(ROUND(L212*(R214-P214),0)*M212,0)*AC214,"")</f>
        <v/>
      </c>
      <c r="AG214" s="572">
        <f t="shared" si="244"/>
        <v>0</v>
      </c>
      <c r="AH214" s="451"/>
      <c r="AI214" s="452"/>
      <c r="AJ214" s="453"/>
      <c r="AK214" s="454"/>
      <c r="AL214" s="455"/>
      <c r="AM214" s="456"/>
      <c r="AN214" s="573"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5"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6"/>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2">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3">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5" customHeight="1">
      <c r="A216" s="1223"/>
      <c r="B216" s="1220"/>
      <c r="C216" s="1220"/>
      <c r="D216" s="1220"/>
      <c r="E216" s="1220"/>
      <c r="F216" s="1220"/>
      <c r="G216" s="1232"/>
      <c r="H216" s="1232"/>
      <c r="I216" s="1232"/>
      <c r="J216" s="1232"/>
      <c r="K216" s="1232"/>
      <c r="L216" s="1235"/>
      <c r="M216" s="1290"/>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6"/>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5" customHeight="1" thickBot="1">
      <c r="A217" s="1224"/>
      <c r="B217" s="1221"/>
      <c r="C217" s="1221"/>
      <c r="D217" s="1221"/>
      <c r="E217" s="1221"/>
      <c r="F217" s="1221"/>
      <c r="G217" s="1233"/>
      <c r="H217" s="1233"/>
      <c r="I217" s="1233"/>
      <c r="J217" s="1233"/>
      <c r="K217" s="1233"/>
      <c r="L217" s="1236"/>
      <c r="M217" s="1291"/>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6"/>
        <v>2</v>
      </c>
      <c r="AD217" s="567" t="s">
        <v>38</v>
      </c>
      <c r="AE217" s="582" t="str">
        <f>IFERROR(ROUNDDOWN(ROUND(L215*R217,0)*M215,0)*AC217,"")</f>
        <v/>
      </c>
      <c r="AF217" s="571" t="str">
        <f>IFERROR(ROUNDDOWN(ROUND(L215*(R217-P217),0)*M215,0)*AC217,"")</f>
        <v/>
      </c>
      <c r="AG217" s="572">
        <f t="shared" si="244"/>
        <v>0</v>
      </c>
      <c r="AH217" s="451"/>
      <c r="AI217" s="452"/>
      <c r="AJ217" s="453"/>
      <c r="AK217" s="454"/>
      <c r="AL217" s="455"/>
      <c r="AM217" s="456"/>
      <c r="AN217" s="573"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5"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6"/>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6">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7">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5" customHeight="1">
      <c r="A219" s="1223"/>
      <c r="B219" s="1220"/>
      <c r="C219" s="1220"/>
      <c r="D219" s="1220"/>
      <c r="E219" s="1220"/>
      <c r="F219" s="1220"/>
      <c r="G219" s="1232"/>
      <c r="H219" s="1232"/>
      <c r="I219" s="1232"/>
      <c r="J219" s="1232"/>
      <c r="K219" s="1232"/>
      <c r="L219" s="1235"/>
      <c r="M219" s="1290"/>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6"/>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5" customHeight="1" thickBot="1">
      <c r="A220" s="1224"/>
      <c r="B220" s="1221"/>
      <c r="C220" s="1221"/>
      <c r="D220" s="1221"/>
      <c r="E220" s="1221"/>
      <c r="F220" s="1221"/>
      <c r="G220" s="1233"/>
      <c r="H220" s="1233"/>
      <c r="I220" s="1233"/>
      <c r="J220" s="1233"/>
      <c r="K220" s="1233"/>
      <c r="L220" s="1236"/>
      <c r="M220" s="1291"/>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6"/>
        <v>2</v>
      </c>
      <c r="AD220" s="567" t="s">
        <v>38</v>
      </c>
      <c r="AE220" s="582" t="str">
        <f>IFERROR(ROUNDDOWN(ROUND(L218*R220,0)*M218,0)*AC220,"")</f>
        <v/>
      </c>
      <c r="AF220" s="571" t="str">
        <f>IFERROR(ROUNDDOWN(ROUND(L218*(R220-P220),0)*M218,0)*AC220,"")</f>
        <v/>
      </c>
      <c r="AG220" s="572">
        <f t="shared" si="244"/>
        <v>0</v>
      </c>
      <c r="AH220" s="451"/>
      <c r="AI220" s="452"/>
      <c r="AJ220" s="453"/>
      <c r="AK220" s="454"/>
      <c r="AL220" s="455"/>
      <c r="AM220" s="456"/>
      <c r="AN220" s="573"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5"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6"/>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0">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1">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5" customHeight="1">
      <c r="A222" s="1223"/>
      <c r="B222" s="1220"/>
      <c r="C222" s="1220"/>
      <c r="D222" s="1220"/>
      <c r="E222" s="1220"/>
      <c r="F222" s="1220"/>
      <c r="G222" s="1232"/>
      <c r="H222" s="1232"/>
      <c r="I222" s="1232"/>
      <c r="J222" s="1232"/>
      <c r="K222" s="1232"/>
      <c r="L222" s="1235"/>
      <c r="M222" s="1290"/>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6"/>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5" customHeight="1" thickBot="1">
      <c r="A223" s="1224"/>
      <c r="B223" s="1221"/>
      <c r="C223" s="1221"/>
      <c r="D223" s="1221"/>
      <c r="E223" s="1221"/>
      <c r="F223" s="1221"/>
      <c r="G223" s="1233"/>
      <c r="H223" s="1233"/>
      <c r="I223" s="1233"/>
      <c r="J223" s="1233"/>
      <c r="K223" s="1233"/>
      <c r="L223" s="1236"/>
      <c r="M223" s="1291"/>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3">IF(V223&gt;=1,(X223*12+Z223)-(T223*12+V223)+1,"")</f>
        <v>2</v>
      </c>
      <c r="AD223" s="567" t="s">
        <v>38</v>
      </c>
      <c r="AE223" s="582" t="str">
        <f>IFERROR(ROUNDDOWN(ROUND(L221*R223,0)*M221,0)*AC223,"")</f>
        <v/>
      </c>
      <c r="AF223" s="571" t="str">
        <f>IFERROR(ROUNDDOWN(ROUND(L221*(R223-P223),0)*M221,0)*AC223,"")</f>
        <v/>
      </c>
      <c r="AG223" s="572">
        <f t="shared" si="244"/>
        <v>0</v>
      </c>
      <c r="AH223" s="451"/>
      <c r="AI223" s="452"/>
      <c r="AJ223" s="453"/>
      <c r="AK223" s="454"/>
      <c r="AL223" s="455"/>
      <c r="AM223" s="456"/>
      <c r="AN223" s="573"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5"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3"/>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5">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6">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5" customHeight="1">
      <c r="A225" s="1223"/>
      <c r="B225" s="1220"/>
      <c r="C225" s="1220"/>
      <c r="D225" s="1220"/>
      <c r="E225" s="1220"/>
      <c r="F225" s="1220"/>
      <c r="G225" s="1232"/>
      <c r="H225" s="1232"/>
      <c r="I225" s="1232"/>
      <c r="J225" s="1232"/>
      <c r="K225" s="1232"/>
      <c r="L225" s="1235"/>
      <c r="M225" s="1290"/>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3"/>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5" customHeight="1" thickBot="1">
      <c r="A226" s="1224"/>
      <c r="B226" s="1221"/>
      <c r="C226" s="1221"/>
      <c r="D226" s="1221"/>
      <c r="E226" s="1221"/>
      <c r="F226" s="1221"/>
      <c r="G226" s="1233"/>
      <c r="H226" s="1233"/>
      <c r="I226" s="1233"/>
      <c r="J226" s="1233"/>
      <c r="K226" s="1233"/>
      <c r="L226" s="1236"/>
      <c r="M226" s="1291"/>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3"/>
        <v>2</v>
      </c>
      <c r="AD226" s="567" t="s">
        <v>38</v>
      </c>
      <c r="AE226" s="582" t="str">
        <f>IFERROR(ROUNDDOWN(ROUND(L224*R226,0)*M224,0)*AC226,"")</f>
        <v/>
      </c>
      <c r="AF226" s="571" t="str">
        <f>IFERROR(ROUNDDOWN(ROUND(L224*(R226-P226),0)*M224,0)*AC226,"")</f>
        <v/>
      </c>
      <c r="AG226" s="572">
        <f t="shared" si="244"/>
        <v>0</v>
      </c>
      <c r="AH226" s="451"/>
      <c r="AI226" s="452"/>
      <c r="AJ226" s="453"/>
      <c r="AK226" s="454"/>
      <c r="AL226" s="455"/>
      <c r="AM226" s="456"/>
      <c r="AN226" s="573"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5"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3"/>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299">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0">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5" customHeight="1">
      <c r="A228" s="1223"/>
      <c r="B228" s="1220"/>
      <c r="C228" s="1220"/>
      <c r="D228" s="1220"/>
      <c r="E228" s="1220"/>
      <c r="F228" s="1220"/>
      <c r="G228" s="1232"/>
      <c r="H228" s="1232"/>
      <c r="I228" s="1232"/>
      <c r="J228" s="1232"/>
      <c r="K228" s="1232"/>
      <c r="L228" s="1235"/>
      <c r="M228" s="1290"/>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3"/>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5" customHeight="1" thickBot="1">
      <c r="A229" s="1224"/>
      <c r="B229" s="1221"/>
      <c r="C229" s="1221"/>
      <c r="D229" s="1221"/>
      <c r="E229" s="1221"/>
      <c r="F229" s="1221"/>
      <c r="G229" s="1233"/>
      <c r="H229" s="1233"/>
      <c r="I229" s="1233"/>
      <c r="J229" s="1233"/>
      <c r="K229" s="1233"/>
      <c r="L229" s="1236"/>
      <c r="M229" s="1291"/>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3"/>
        <v>2</v>
      </c>
      <c r="AD229" s="567" t="s">
        <v>38</v>
      </c>
      <c r="AE229" s="582" t="str">
        <f>IFERROR(ROUNDDOWN(ROUND(L227*R229,0)*M227,0)*AC229,"")</f>
        <v/>
      </c>
      <c r="AF229" s="571" t="str">
        <f>IFERROR(ROUNDDOWN(ROUND(L227*(R229-P229),0)*M227,0)*AC229,"")</f>
        <v/>
      </c>
      <c r="AG229" s="572">
        <f t="shared" si="244"/>
        <v>0</v>
      </c>
      <c r="AH229" s="451"/>
      <c r="AI229" s="452"/>
      <c r="AJ229" s="453"/>
      <c r="AK229" s="454"/>
      <c r="AL229" s="455"/>
      <c r="AM229" s="456"/>
      <c r="AN229" s="573"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5"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3"/>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3">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4">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5" customHeight="1">
      <c r="A231" s="1223"/>
      <c r="B231" s="1220"/>
      <c r="C231" s="1220"/>
      <c r="D231" s="1220"/>
      <c r="E231" s="1220"/>
      <c r="F231" s="1220"/>
      <c r="G231" s="1232"/>
      <c r="H231" s="1232"/>
      <c r="I231" s="1232"/>
      <c r="J231" s="1232"/>
      <c r="K231" s="1232"/>
      <c r="L231" s="1235"/>
      <c r="M231" s="1290"/>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3"/>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5" customHeight="1" thickBot="1">
      <c r="A232" s="1224"/>
      <c r="B232" s="1221"/>
      <c r="C232" s="1221"/>
      <c r="D232" s="1221"/>
      <c r="E232" s="1221"/>
      <c r="F232" s="1221"/>
      <c r="G232" s="1233"/>
      <c r="H232" s="1233"/>
      <c r="I232" s="1233"/>
      <c r="J232" s="1233"/>
      <c r="K232" s="1233"/>
      <c r="L232" s="1236"/>
      <c r="M232" s="1291"/>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3"/>
        <v>2</v>
      </c>
      <c r="AD232" s="567" t="s">
        <v>38</v>
      </c>
      <c r="AE232" s="582" t="str">
        <f>IFERROR(ROUNDDOWN(ROUND(L230*R232,0)*M230,0)*AC232,"")</f>
        <v/>
      </c>
      <c r="AF232" s="571" t="str">
        <f>IFERROR(ROUNDDOWN(ROUND(L230*(R232-P232),0)*M230,0)*AC232,"")</f>
        <v/>
      </c>
      <c r="AG232" s="572">
        <f t="shared" si="244"/>
        <v>0</v>
      </c>
      <c r="AH232" s="451"/>
      <c r="AI232" s="452"/>
      <c r="AJ232" s="453"/>
      <c r="AK232" s="454"/>
      <c r="AL232" s="455"/>
      <c r="AM232" s="456"/>
      <c r="AN232" s="573"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5"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3"/>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7">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08">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5" customHeight="1">
      <c r="A234" s="1223"/>
      <c r="B234" s="1220"/>
      <c r="C234" s="1220"/>
      <c r="D234" s="1220"/>
      <c r="E234" s="1220"/>
      <c r="F234" s="1220"/>
      <c r="G234" s="1232"/>
      <c r="H234" s="1232"/>
      <c r="I234" s="1232"/>
      <c r="J234" s="1232"/>
      <c r="K234" s="1232"/>
      <c r="L234" s="1235"/>
      <c r="M234" s="1290"/>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3"/>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5" customHeight="1" thickBot="1">
      <c r="A235" s="1224"/>
      <c r="B235" s="1221"/>
      <c r="C235" s="1221"/>
      <c r="D235" s="1221"/>
      <c r="E235" s="1221"/>
      <c r="F235" s="1221"/>
      <c r="G235" s="1233"/>
      <c r="H235" s="1233"/>
      <c r="I235" s="1233"/>
      <c r="J235" s="1233"/>
      <c r="K235" s="1233"/>
      <c r="L235" s="1236"/>
      <c r="M235" s="1291"/>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3"/>
        <v>2</v>
      </c>
      <c r="AD235" s="567" t="s">
        <v>38</v>
      </c>
      <c r="AE235" s="582" t="str">
        <f>IFERROR(ROUNDDOWN(ROUND(L233*R235,0)*M233,0)*AC235,"")</f>
        <v/>
      </c>
      <c r="AF235" s="571" t="str">
        <f>IFERROR(ROUNDDOWN(ROUND(L233*(R235-P235),0)*M233,0)*AC235,"")</f>
        <v/>
      </c>
      <c r="AG235" s="572">
        <f t="shared" si="244"/>
        <v>0</v>
      </c>
      <c r="AH235" s="451"/>
      <c r="AI235" s="452"/>
      <c r="AJ235" s="453"/>
      <c r="AK235" s="454"/>
      <c r="AL235" s="455"/>
      <c r="AM235" s="456"/>
      <c r="AN235" s="573"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5"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3"/>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1">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2">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5" customHeight="1">
      <c r="A237" s="1223"/>
      <c r="B237" s="1220"/>
      <c r="C237" s="1220"/>
      <c r="D237" s="1220"/>
      <c r="E237" s="1220"/>
      <c r="F237" s="1220"/>
      <c r="G237" s="1232"/>
      <c r="H237" s="1232"/>
      <c r="I237" s="1232"/>
      <c r="J237" s="1232"/>
      <c r="K237" s="1232"/>
      <c r="L237" s="1235"/>
      <c r="M237" s="1290"/>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3"/>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5" customHeight="1" thickBot="1">
      <c r="A238" s="1224"/>
      <c r="B238" s="1221"/>
      <c r="C238" s="1221"/>
      <c r="D238" s="1221"/>
      <c r="E238" s="1221"/>
      <c r="F238" s="1221"/>
      <c r="G238" s="1233"/>
      <c r="H238" s="1233"/>
      <c r="I238" s="1233"/>
      <c r="J238" s="1233"/>
      <c r="K238" s="1233"/>
      <c r="L238" s="1236"/>
      <c r="M238" s="1291"/>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3"/>
        <v>2</v>
      </c>
      <c r="AD238" s="567" t="s">
        <v>38</v>
      </c>
      <c r="AE238" s="582" t="str">
        <f>IFERROR(ROUNDDOWN(ROUND(L236*R238,0)*M236,0)*AC238,"")</f>
        <v/>
      </c>
      <c r="AF238" s="571" t="str">
        <f>IFERROR(ROUNDDOWN(ROUND(L236*(R238-P238),0)*M236,0)*AC238,"")</f>
        <v/>
      </c>
      <c r="AG238" s="572">
        <f t="shared" si="244"/>
        <v>0</v>
      </c>
      <c r="AH238" s="451"/>
      <c r="AI238" s="452"/>
      <c r="AJ238" s="453"/>
      <c r="AK238" s="454"/>
      <c r="AL238" s="455"/>
      <c r="AM238" s="456"/>
      <c r="AN238" s="573"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5"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3"/>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5">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6">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5" customHeight="1">
      <c r="A240" s="1223"/>
      <c r="B240" s="1220"/>
      <c r="C240" s="1220"/>
      <c r="D240" s="1220"/>
      <c r="E240" s="1220"/>
      <c r="F240" s="1220"/>
      <c r="G240" s="1232"/>
      <c r="H240" s="1232"/>
      <c r="I240" s="1232"/>
      <c r="J240" s="1232"/>
      <c r="K240" s="1232"/>
      <c r="L240" s="1235"/>
      <c r="M240" s="1290"/>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3"/>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5" customHeight="1" thickBot="1">
      <c r="A241" s="1224"/>
      <c r="B241" s="1221"/>
      <c r="C241" s="1221"/>
      <c r="D241" s="1221"/>
      <c r="E241" s="1221"/>
      <c r="F241" s="1221"/>
      <c r="G241" s="1233"/>
      <c r="H241" s="1233"/>
      <c r="I241" s="1233"/>
      <c r="J241" s="1233"/>
      <c r="K241" s="1233"/>
      <c r="L241" s="1236"/>
      <c r="M241" s="1291"/>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3"/>
        <v>2</v>
      </c>
      <c r="AD241" s="567" t="s">
        <v>38</v>
      </c>
      <c r="AE241" s="582" t="str">
        <f>IFERROR(ROUNDDOWN(ROUND(L239*R241,0)*M239,0)*AC241,"")</f>
        <v/>
      </c>
      <c r="AF241" s="571" t="str">
        <f>IFERROR(ROUNDDOWN(ROUND(L239*(R241-P241),0)*M239,0)*AC241,"")</f>
        <v/>
      </c>
      <c r="AG241" s="572">
        <f t="shared" si="244"/>
        <v>0</v>
      </c>
      <c r="AH241" s="451"/>
      <c r="AI241" s="452"/>
      <c r="AJ241" s="453"/>
      <c r="AK241" s="454"/>
      <c r="AL241" s="455"/>
      <c r="AM241" s="456"/>
      <c r="AN241" s="573"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5"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3"/>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19">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0">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5" customHeight="1">
      <c r="A243" s="1223"/>
      <c r="B243" s="1220"/>
      <c r="C243" s="1220"/>
      <c r="D243" s="1220"/>
      <c r="E243" s="1220"/>
      <c r="F243" s="1220"/>
      <c r="G243" s="1232"/>
      <c r="H243" s="1232"/>
      <c r="I243" s="1232"/>
      <c r="J243" s="1232"/>
      <c r="K243" s="1232"/>
      <c r="L243" s="1235"/>
      <c r="M243" s="1290"/>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3"/>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5" customHeight="1" thickBot="1">
      <c r="A244" s="1224"/>
      <c r="B244" s="1221"/>
      <c r="C244" s="1221"/>
      <c r="D244" s="1221"/>
      <c r="E244" s="1221"/>
      <c r="F244" s="1221"/>
      <c r="G244" s="1233"/>
      <c r="H244" s="1233"/>
      <c r="I244" s="1233"/>
      <c r="J244" s="1233"/>
      <c r="K244" s="1233"/>
      <c r="L244" s="1236"/>
      <c r="M244" s="1291"/>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3"/>
        <v>2</v>
      </c>
      <c r="AD244" s="567" t="s">
        <v>38</v>
      </c>
      <c r="AE244" s="582" t="str">
        <f>IFERROR(ROUNDDOWN(ROUND(L242*R244,0)*M242,0)*AC244,"")</f>
        <v/>
      </c>
      <c r="AF244" s="571" t="str">
        <f>IFERROR(ROUNDDOWN(ROUND(L242*(R244-P244),0)*M242,0)*AC244,"")</f>
        <v/>
      </c>
      <c r="AG244" s="572">
        <f t="shared" si="244"/>
        <v>0</v>
      </c>
      <c r="AH244" s="451"/>
      <c r="AI244" s="452"/>
      <c r="AJ244" s="453"/>
      <c r="AK244" s="454"/>
      <c r="AL244" s="455"/>
      <c r="AM244" s="456"/>
      <c r="AN244" s="573"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5"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3"/>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3">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4">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5" customHeight="1">
      <c r="A246" s="1223"/>
      <c r="B246" s="1220"/>
      <c r="C246" s="1220"/>
      <c r="D246" s="1220"/>
      <c r="E246" s="1220"/>
      <c r="F246" s="1220"/>
      <c r="G246" s="1232"/>
      <c r="H246" s="1232"/>
      <c r="I246" s="1232"/>
      <c r="J246" s="1232"/>
      <c r="K246" s="1232"/>
      <c r="L246" s="1235"/>
      <c r="M246" s="1290"/>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3"/>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5" customHeight="1" thickBot="1">
      <c r="A247" s="1224"/>
      <c r="B247" s="1221"/>
      <c r="C247" s="1221"/>
      <c r="D247" s="1221"/>
      <c r="E247" s="1221"/>
      <c r="F247" s="1221"/>
      <c r="G247" s="1233"/>
      <c r="H247" s="1233"/>
      <c r="I247" s="1233"/>
      <c r="J247" s="1233"/>
      <c r="K247" s="1233"/>
      <c r="L247" s="1236"/>
      <c r="M247" s="1291"/>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3"/>
        <v>2</v>
      </c>
      <c r="AD247" s="567" t="s">
        <v>38</v>
      </c>
      <c r="AE247" s="582" t="str">
        <f>IFERROR(ROUNDDOWN(ROUND(L245*R247,0)*M245,0)*AC247,"")</f>
        <v/>
      </c>
      <c r="AF247" s="571" t="str">
        <f>IFERROR(ROUNDDOWN(ROUND(L245*(R247-P247),0)*M245,0)*AC247,"")</f>
        <v/>
      </c>
      <c r="AG247" s="572">
        <f t="shared" si="244"/>
        <v>0</v>
      </c>
      <c r="AH247" s="451"/>
      <c r="AI247" s="452"/>
      <c r="AJ247" s="453"/>
      <c r="AK247" s="454"/>
      <c r="AL247" s="455"/>
      <c r="AM247" s="456"/>
      <c r="AN247" s="573"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5"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3"/>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7">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28">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5" customHeight="1">
      <c r="A249" s="1223"/>
      <c r="B249" s="1220"/>
      <c r="C249" s="1220"/>
      <c r="D249" s="1220"/>
      <c r="E249" s="1220"/>
      <c r="F249" s="1220"/>
      <c r="G249" s="1232"/>
      <c r="H249" s="1232"/>
      <c r="I249" s="1232"/>
      <c r="J249" s="1232"/>
      <c r="K249" s="1232"/>
      <c r="L249" s="1235"/>
      <c r="M249" s="1290"/>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3"/>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5" customHeight="1" thickBot="1">
      <c r="A250" s="1224"/>
      <c r="B250" s="1221"/>
      <c r="C250" s="1221"/>
      <c r="D250" s="1221"/>
      <c r="E250" s="1221"/>
      <c r="F250" s="1221"/>
      <c r="G250" s="1233"/>
      <c r="H250" s="1233"/>
      <c r="I250" s="1233"/>
      <c r="J250" s="1233"/>
      <c r="K250" s="1233"/>
      <c r="L250" s="1236"/>
      <c r="M250" s="1291"/>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3"/>
        <v>2</v>
      </c>
      <c r="AD250" s="567" t="s">
        <v>38</v>
      </c>
      <c r="AE250" s="582" t="str">
        <f>IFERROR(ROUNDDOWN(ROUND(L248*R250,0)*M248,0)*AC250,"")</f>
        <v/>
      </c>
      <c r="AF250" s="571" t="str">
        <f>IFERROR(ROUNDDOWN(ROUND(L248*(R250-P250),0)*M248,0)*AC250,"")</f>
        <v/>
      </c>
      <c r="AG250" s="572">
        <f t="shared" si="244"/>
        <v>0</v>
      </c>
      <c r="AH250" s="451"/>
      <c r="AI250" s="452"/>
      <c r="AJ250" s="453"/>
      <c r="AK250" s="454"/>
      <c r="AL250" s="455"/>
      <c r="AM250" s="456"/>
      <c r="AN250" s="573"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5"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3"/>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1">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2">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5" customHeight="1">
      <c r="A252" s="1223"/>
      <c r="B252" s="1220"/>
      <c r="C252" s="1220"/>
      <c r="D252" s="1220"/>
      <c r="E252" s="1220"/>
      <c r="F252" s="1220"/>
      <c r="G252" s="1232"/>
      <c r="H252" s="1232"/>
      <c r="I252" s="1232"/>
      <c r="J252" s="1232"/>
      <c r="K252" s="1232"/>
      <c r="L252" s="1235"/>
      <c r="M252" s="1290"/>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3"/>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5" customHeight="1" thickBot="1">
      <c r="A253" s="1224"/>
      <c r="B253" s="1221"/>
      <c r="C253" s="1221"/>
      <c r="D253" s="1221"/>
      <c r="E253" s="1221"/>
      <c r="F253" s="1221"/>
      <c r="G253" s="1233"/>
      <c r="H253" s="1233"/>
      <c r="I253" s="1233"/>
      <c r="J253" s="1233"/>
      <c r="K253" s="1233"/>
      <c r="L253" s="1236"/>
      <c r="M253" s="1291"/>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3"/>
        <v>2</v>
      </c>
      <c r="AD253" s="567" t="s">
        <v>38</v>
      </c>
      <c r="AE253" s="582" t="str">
        <f>IFERROR(ROUNDDOWN(ROUND(L251*R253,0)*M251,0)*AC253,"")</f>
        <v/>
      </c>
      <c r="AF253" s="571" t="str">
        <f>IFERROR(ROUNDDOWN(ROUND(L251*(R253-P253),0)*M251,0)*AC253,"")</f>
        <v/>
      </c>
      <c r="AG253" s="572">
        <f t="shared" ref="AG253:AG313" si="334">IF(AND(O253="ベア加算なし",Q253="ベア加算"),AE253,0)</f>
        <v>0</v>
      </c>
      <c r="AH253" s="451"/>
      <c r="AI253" s="452"/>
      <c r="AJ253" s="453"/>
      <c r="AK253" s="454"/>
      <c r="AL253" s="455"/>
      <c r="AM253" s="456"/>
      <c r="AN253" s="573"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5"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3"/>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6">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7">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5" customHeight="1">
      <c r="A255" s="1223"/>
      <c r="B255" s="1220"/>
      <c r="C255" s="1220"/>
      <c r="D255" s="1220"/>
      <c r="E255" s="1220"/>
      <c r="F255" s="1220"/>
      <c r="G255" s="1232"/>
      <c r="H255" s="1232"/>
      <c r="I255" s="1232"/>
      <c r="J255" s="1232"/>
      <c r="K255" s="1232"/>
      <c r="L255" s="1235"/>
      <c r="M255" s="1290"/>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3"/>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5" customHeight="1" thickBot="1">
      <c r="A256" s="1224"/>
      <c r="B256" s="1221"/>
      <c r="C256" s="1221"/>
      <c r="D256" s="1221"/>
      <c r="E256" s="1221"/>
      <c r="F256" s="1221"/>
      <c r="G256" s="1233"/>
      <c r="H256" s="1233"/>
      <c r="I256" s="1233"/>
      <c r="J256" s="1233"/>
      <c r="K256" s="1233"/>
      <c r="L256" s="1236"/>
      <c r="M256" s="1291"/>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3"/>
        <v>2</v>
      </c>
      <c r="AD256" s="567" t="s">
        <v>38</v>
      </c>
      <c r="AE256" s="582" t="str">
        <f>IFERROR(ROUNDDOWN(ROUND(L254*R256,0)*M254,0)*AC256,"")</f>
        <v/>
      </c>
      <c r="AF256" s="571" t="str">
        <f>IFERROR(ROUNDDOWN(ROUND(L254*(R256-P256),0)*M254,0)*AC256,"")</f>
        <v/>
      </c>
      <c r="AG256" s="572">
        <f t="shared" si="334"/>
        <v>0</v>
      </c>
      <c r="AH256" s="451"/>
      <c r="AI256" s="452"/>
      <c r="AJ256" s="453"/>
      <c r="AK256" s="454"/>
      <c r="AL256" s="455"/>
      <c r="AM256" s="456"/>
      <c r="AN256" s="573"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5"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3"/>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0">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1">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5" customHeight="1">
      <c r="A258" s="1223"/>
      <c r="B258" s="1220"/>
      <c r="C258" s="1220"/>
      <c r="D258" s="1220"/>
      <c r="E258" s="1220"/>
      <c r="F258" s="1220"/>
      <c r="G258" s="1232"/>
      <c r="H258" s="1232"/>
      <c r="I258" s="1232"/>
      <c r="J258" s="1232"/>
      <c r="K258" s="1232"/>
      <c r="L258" s="1235"/>
      <c r="M258" s="1290"/>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3"/>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5" customHeight="1" thickBot="1">
      <c r="A259" s="1224"/>
      <c r="B259" s="1221"/>
      <c r="C259" s="1221"/>
      <c r="D259" s="1221"/>
      <c r="E259" s="1221"/>
      <c r="F259" s="1221"/>
      <c r="G259" s="1233"/>
      <c r="H259" s="1233"/>
      <c r="I259" s="1233"/>
      <c r="J259" s="1233"/>
      <c r="K259" s="1233"/>
      <c r="L259" s="1236"/>
      <c r="M259" s="1291"/>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3"/>
        <v>2</v>
      </c>
      <c r="AD259" s="567" t="s">
        <v>38</v>
      </c>
      <c r="AE259" s="582" t="str">
        <f>IFERROR(ROUNDDOWN(ROUND(L257*R259,0)*M257,0)*AC259,"")</f>
        <v/>
      </c>
      <c r="AF259" s="571" t="str">
        <f>IFERROR(ROUNDDOWN(ROUND(L257*(R259-P259),0)*M257,0)*AC259,"")</f>
        <v/>
      </c>
      <c r="AG259" s="572">
        <f t="shared" si="334"/>
        <v>0</v>
      </c>
      <c r="AH259" s="451"/>
      <c r="AI259" s="452"/>
      <c r="AJ259" s="453"/>
      <c r="AK259" s="454"/>
      <c r="AL259" s="455"/>
      <c r="AM259" s="456"/>
      <c r="AN259" s="573"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5"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3"/>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4">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5">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5" customHeight="1">
      <c r="A261" s="1223"/>
      <c r="B261" s="1220"/>
      <c r="C261" s="1220"/>
      <c r="D261" s="1220"/>
      <c r="E261" s="1220"/>
      <c r="F261" s="1220"/>
      <c r="G261" s="1232"/>
      <c r="H261" s="1232"/>
      <c r="I261" s="1232"/>
      <c r="J261" s="1232"/>
      <c r="K261" s="1232"/>
      <c r="L261" s="1235"/>
      <c r="M261" s="1290"/>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3"/>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5" customHeight="1" thickBot="1">
      <c r="A262" s="1224"/>
      <c r="B262" s="1221"/>
      <c r="C262" s="1221"/>
      <c r="D262" s="1221"/>
      <c r="E262" s="1221"/>
      <c r="F262" s="1221"/>
      <c r="G262" s="1233"/>
      <c r="H262" s="1233"/>
      <c r="I262" s="1233"/>
      <c r="J262" s="1233"/>
      <c r="K262" s="1233"/>
      <c r="L262" s="1236"/>
      <c r="M262" s="1291"/>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3"/>
        <v>2</v>
      </c>
      <c r="AD262" s="567" t="s">
        <v>38</v>
      </c>
      <c r="AE262" s="582" t="str">
        <f>IFERROR(ROUNDDOWN(ROUND(L260*R262,0)*M260,0)*AC262,"")</f>
        <v/>
      </c>
      <c r="AF262" s="571" t="str">
        <f>IFERROR(ROUNDDOWN(ROUND(L260*(R262-P262),0)*M260,0)*AC262,"")</f>
        <v/>
      </c>
      <c r="AG262" s="572">
        <f t="shared" si="334"/>
        <v>0</v>
      </c>
      <c r="AH262" s="451"/>
      <c r="AI262" s="452"/>
      <c r="AJ262" s="453"/>
      <c r="AK262" s="454"/>
      <c r="AL262" s="455"/>
      <c r="AM262" s="456"/>
      <c r="AN262" s="573"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5"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3"/>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48">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49">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5" customHeight="1">
      <c r="A264" s="1223"/>
      <c r="B264" s="1220"/>
      <c r="C264" s="1220"/>
      <c r="D264" s="1220"/>
      <c r="E264" s="1220"/>
      <c r="F264" s="1220"/>
      <c r="G264" s="1232"/>
      <c r="H264" s="1232"/>
      <c r="I264" s="1232"/>
      <c r="J264" s="1232"/>
      <c r="K264" s="1232"/>
      <c r="L264" s="1235"/>
      <c r="M264" s="1290"/>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3"/>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5" customHeight="1" thickBot="1">
      <c r="A265" s="1224"/>
      <c r="B265" s="1221"/>
      <c r="C265" s="1221"/>
      <c r="D265" s="1221"/>
      <c r="E265" s="1221"/>
      <c r="F265" s="1221"/>
      <c r="G265" s="1233"/>
      <c r="H265" s="1233"/>
      <c r="I265" s="1233"/>
      <c r="J265" s="1233"/>
      <c r="K265" s="1233"/>
      <c r="L265" s="1236"/>
      <c r="M265" s="1291"/>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3"/>
        <v>2</v>
      </c>
      <c r="AD265" s="567" t="s">
        <v>38</v>
      </c>
      <c r="AE265" s="582" t="str">
        <f>IFERROR(ROUNDDOWN(ROUND(L263*R265,0)*M263,0)*AC265,"")</f>
        <v/>
      </c>
      <c r="AF265" s="571" t="str">
        <f>IFERROR(ROUNDDOWN(ROUND(L263*(R265-P265),0)*M263,0)*AC265,"")</f>
        <v/>
      </c>
      <c r="AG265" s="572">
        <f t="shared" si="334"/>
        <v>0</v>
      </c>
      <c r="AH265" s="451"/>
      <c r="AI265" s="452"/>
      <c r="AJ265" s="453"/>
      <c r="AK265" s="454"/>
      <c r="AL265" s="455"/>
      <c r="AM265" s="456"/>
      <c r="AN265" s="573"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5"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3"/>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2">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3">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5" customHeight="1">
      <c r="A267" s="1223"/>
      <c r="B267" s="1220"/>
      <c r="C267" s="1220"/>
      <c r="D267" s="1220"/>
      <c r="E267" s="1220"/>
      <c r="F267" s="1220"/>
      <c r="G267" s="1232"/>
      <c r="H267" s="1232"/>
      <c r="I267" s="1232"/>
      <c r="J267" s="1232"/>
      <c r="K267" s="1232"/>
      <c r="L267" s="1235"/>
      <c r="M267" s="1290"/>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3"/>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5" customHeight="1" thickBot="1">
      <c r="A268" s="1224"/>
      <c r="B268" s="1221"/>
      <c r="C268" s="1221"/>
      <c r="D268" s="1221"/>
      <c r="E268" s="1221"/>
      <c r="F268" s="1221"/>
      <c r="G268" s="1233"/>
      <c r="H268" s="1233"/>
      <c r="I268" s="1233"/>
      <c r="J268" s="1233"/>
      <c r="K268" s="1233"/>
      <c r="L268" s="1236"/>
      <c r="M268" s="1291"/>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3"/>
        <v>2</v>
      </c>
      <c r="AD268" s="567" t="s">
        <v>38</v>
      </c>
      <c r="AE268" s="582" t="str">
        <f>IFERROR(ROUNDDOWN(ROUND(L266*R268,0)*M266,0)*AC268,"")</f>
        <v/>
      </c>
      <c r="AF268" s="571" t="str">
        <f>IFERROR(ROUNDDOWN(ROUND(L266*(R268-P268),0)*M266,0)*AC268,"")</f>
        <v/>
      </c>
      <c r="AG268" s="572">
        <f t="shared" si="334"/>
        <v>0</v>
      </c>
      <c r="AH268" s="451"/>
      <c r="AI268" s="452"/>
      <c r="AJ268" s="453"/>
      <c r="AK268" s="454"/>
      <c r="AL268" s="455"/>
      <c r="AM268" s="456"/>
      <c r="AN268" s="573"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5"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3"/>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6">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7">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5" customHeight="1">
      <c r="A270" s="1223"/>
      <c r="B270" s="1220"/>
      <c r="C270" s="1220"/>
      <c r="D270" s="1220"/>
      <c r="E270" s="1220"/>
      <c r="F270" s="1220"/>
      <c r="G270" s="1232"/>
      <c r="H270" s="1232"/>
      <c r="I270" s="1232"/>
      <c r="J270" s="1232"/>
      <c r="K270" s="1232"/>
      <c r="L270" s="1235"/>
      <c r="M270" s="1290"/>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3"/>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5" customHeight="1" thickBot="1">
      <c r="A271" s="1224"/>
      <c r="B271" s="1221"/>
      <c r="C271" s="1221"/>
      <c r="D271" s="1221"/>
      <c r="E271" s="1221"/>
      <c r="F271" s="1221"/>
      <c r="G271" s="1233"/>
      <c r="H271" s="1233"/>
      <c r="I271" s="1233"/>
      <c r="J271" s="1233"/>
      <c r="K271" s="1233"/>
      <c r="L271" s="1236"/>
      <c r="M271" s="1291"/>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3"/>
        <v>2</v>
      </c>
      <c r="AD271" s="567" t="s">
        <v>38</v>
      </c>
      <c r="AE271" s="582" t="str">
        <f>IFERROR(ROUNDDOWN(ROUND(L269*R271,0)*M269,0)*AC271,"")</f>
        <v/>
      </c>
      <c r="AF271" s="571" t="str">
        <f>IFERROR(ROUNDDOWN(ROUND(L269*(R271-P271),0)*M269,0)*AC271,"")</f>
        <v/>
      </c>
      <c r="AG271" s="572">
        <f t="shared" si="334"/>
        <v>0</v>
      </c>
      <c r="AH271" s="451"/>
      <c r="AI271" s="452"/>
      <c r="AJ271" s="453"/>
      <c r="AK271" s="454"/>
      <c r="AL271" s="455"/>
      <c r="AM271" s="456"/>
      <c r="AN271" s="573"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5"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3"/>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0">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1">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5" customHeight="1">
      <c r="A273" s="1223"/>
      <c r="B273" s="1220"/>
      <c r="C273" s="1220"/>
      <c r="D273" s="1220"/>
      <c r="E273" s="1220"/>
      <c r="F273" s="1220"/>
      <c r="G273" s="1232"/>
      <c r="H273" s="1232"/>
      <c r="I273" s="1232"/>
      <c r="J273" s="1232"/>
      <c r="K273" s="1232"/>
      <c r="L273" s="1235"/>
      <c r="M273" s="1290"/>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3"/>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5" customHeight="1" thickBot="1">
      <c r="A274" s="1224"/>
      <c r="B274" s="1221"/>
      <c r="C274" s="1221"/>
      <c r="D274" s="1221"/>
      <c r="E274" s="1221"/>
      <c r="F274" s="1221"/>
      <c r="G274" s="1233"/>
      <c r="H274" s="1233"/>
      <c r="I274" s="1233"/>
      <c r="J274" s="1233"/>
      <c r="K274" s="1233"/>
      <c r="L274" s="1236"/>
      <c r="M274" s="1291"/>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3"/>
        <v>2</v>
      </c>
      <c r="AD274" s="567" t="s">
        <v>38</v>
      </c>
      <c r="AE274" s="582" t="str">
        <f>IFERROR(ROUNDDOWN(ROUND(L272*R274,0)*M272,0)*AC274,"")</f>
        <v/>
      </c>
      <c r="AF274" s="571" t="str">
        <f>IFERROR(ROUNDDOWN(ROUND(L272*(R274-P274),0)*M272,0)*AC274,"")</f>
        <v/>
      </c>
      <c r="AG274" s="572">
        <f t="shared" si="334"/>
        <v>0</v>
      </c>
      <c r="AH274" s="451"/>
      <c r="AI274" s="452"/>
      <c r="AJ274" s="453"/>
      <c r="AK274" s="454"/>
      <c r="AL274" s="455"/>
      <c r="AM274" s="456"/>
      <c r="AN274" s="573"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5"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3"/>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4">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5">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5" customHeight="1">
      <c r="A276" s="1223"/>
      <c r="B276" s="1220"/>
      <c r="C276" s="1220"/>
      <c r="D276" s="1220"/>
      <c r="E276" s="1220"/>
      <c r="F276" s="1220"/>
      <c r="G276" s="1232"/>
      <c r="H276" s="1232"/>
      <c r="I276" s="1232"/>
      <c r="J276" s="1232"/>
      <c r="K276" s="1232"/>
      <c r="L276" s="1235"/>
      <c r="M276" s="1290"/>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3"/>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5" customHeight="1" thickBot="1">
      <c r="A277" s="1224"/>
      <c r="B277" s="1221"/>
      <c r="C277" s="1221"/>
      <c r="D277" s="1221"/>
      <c r="E277" s="1221"/>
      <c r="F277" s="1221"/>
      <c r="G277" s="1233"/>
      <c r="H277" s="1233"/>
      <c r="I277" s="1233"/>
      <c r="J277" s="1233"/>
      <c r="K277" s="1233"/>
      <c r="L277" s="1236"/>
      <c r="M277" s="1291"/>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3"/>
        <v>2</v>
      </c>
      <c r="AD277" s="567" t="s">
        <v>38</v>
      </c>
      <c r="AE277" s="582" t="str">
        <f>IFERROR(ROUNDDOWN(ROUND(L275*R277,0)*M275,0)*AC277,"")</f>
        <v/>
      </c>
      <c r="AF277" s="571" t="str">
        <f>IFERROR(ROUNDDOWN(ROUND(L275*(R277-P277),0)*M275,0)*AC277,"")</f>
        <v/>
      </c>
      <c r="AG277" s="572">
        <f t="shared" si="334"/>
        <v>0</v>
      </c>
      <c r="AH277" s="451"/>
      <c r="AI277" s="452"/>
      <c r="AJ277" s="453"/>
      <c r="AK277" s="454"/>
      <c r="AL277" s="455"/>
      <c r="AM277" s="456"/>
      <c r="AN277" s="573"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5"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3"/>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68">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69">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5" customHeight="1">
      <c r="A279" s="1223"/>
      <c r="B279" s="1220"/>
      <c r="C279" s="1220"/>
      <c r="D279" s="1220"/>
      <c r="E279" s="1220"/>
      <c r="F279" s="1220"/>
      <c r="G279" s="1232"/>
      <c r="H279" s="1232"/>
      <c r="I279" s="1232"/>
      <c r="J279" s="1232"/>
      <c r="K279" s="1232"/>
      <c r="L279" s="1235"/>
      <c r="M279" s="1290"/>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3"/>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5" customHeight="1" thickBot="1">
      <c r="A280" s="1224"/>
      <c r="B280" s="1221"/>
      <c r="C280" s="1221"/>
      <c r="D280" s="1221"/>
      <c r="E280" s="1221"/>
      <c r="F280" s="1221"/>
      <c r="G280" s="1233"/>
      <c r="H280" s="1233"/>
      <c r="I280" s="1233"/>
      <c r="J280" s="1233"/>
      <c r="K280" s="1233"/>
      <c r="L280" s="1236"/>
      <c r="M280" s="1291"/>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3"/>
        <v>2</v>
      </c>
      <c r="AD280" s="567" t="s">
        <v>38</v>
      </c>
      <c r="AE280" s="582" t="str">
        <f>IFERROR(ROUNDDOWN(ROUND(L278*R280,0)*M278,0)*AC280,"")</f>
        <v/>
      </c>
      <c r="AF280" s="571" t="str">
        <f>IFERROR(ROUNDDOWN(ROUND(L278*(R280-P280),0)*M278,0)*AC280,"")</f>
        <v/>
      </c>
      <c r="AG280" s="572">
        <f t="shared" si="334"/>
        <v>0</v>
      </c>
      <c r="AH280" s="451"/>
      <c r="AI280" s="452"/>
      <c r="AJ280" s="453"/>
      <c r="AK280" s="454"/>
      <c r="AL280" s="455"/>
      <c r="AM280" s="456"/>
      <c r="AN280" s="573"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5"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3"/>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2">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3">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5" customHeight="1">
      <c r="A282" s="1223"/>
      <c r="B282" s="1220"/>
      <c r="C282" s="1220"/>
      <c r="D282" s="1220"/>
      <c r="E282" s="1220"/>
      <c r="F282" s="1220"/>
      <c r="G282" s="1232"/>
      <c r="H282" s="1232"/>
      <c r="I282" s="1232"/>
      <c r="J282" s="1232"/>
      <c r="K282" s="1232"/>
      <c r="L282" s="1235"/>
      <c r="M282" s="1290"/>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3"/>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5" customHeight="1" thickBot="1">
      <c r="A283" s="1224"/>
      <c r="B283" s="1221"/>
      <c r="C283" s="1221"/>
      <c r="D283" s="1221"/>
      <c r="E283" s="1221"/>
      <c r="F283" s="1221"/>
      <c r="G283" s="1233"/>
      <c r="H283" s="1233"/>
      <c r="I283" s="1233"/>
      <c r="J283" s="1233"/>
      <c r="K283" s="1233"/>
      <c r="L283" s="1236"/>
      <c r="M283" s="1291"/>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3"/>
        <v>2</v>
      </c>
      <c r="AD283" s="567" t="s">
        <v>38</v>
      </c>
      <c r="AE283" s="582" t="str">
        <f>IFERROR(ROUNDDOWN(ROUND(L281*R283,0)*M281,0)*AC283,"")</f>
        <v/>
      </c>
      <c r="AF283" s="571" t="str">
        <f>IFERROR(ROUNDDOWN(ROUND(L281*(R283-P283),0)*M281,0)*AC283,"")</f>
        <v/>
      </c>
      <c r="AG283" s="572">
        <f t="shared" si="334"/>
        <v>0</v>
      </c>
      <c r="AH283" s="451"/>
      <c r="AI283" s="452"/>
      <c r="AJ283" s="453"/>
      <c r="AK283" s="454"/>
      <c r="AL283" s="455"/>
      <c r="AM283" s="456"/>
      <c r="AN283" s="573"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5"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3"/>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6">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7">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5" customHeight="1">
      <c r="A285" s="1223"/>
      <c r="B285" s="1220"/>
      <c r="C285" s="1220"/>
      <c r="D285" s="1220"/>
      <c r="E285" s="1220"/>
      <c r="F285" s="1220"/>
      <c r="G285" s="1232"/>
      <c r="H285" s="1232"/>
      <c r="I285" s="1232"/>
      <c r="J285" s="1232"/>
      <c r="K285" s="1232"/>
      <c r="L285" s="1235"/>
      <c r="M285" s="1290"/>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3"/>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5" customHeight="1" thickBot="1">
      <c r="A286" s="1224"/>
      <c r="B286" s="1221"/>
      <c r="C286" s="1221"/>
      <c r="D286" s="1221"/>
      <c r="E286" s="1221"/>
      <c r="F286" s="1221"/>
      <c r="G286" s="1233"/>
      <c r="H286" s="1233"/>
      <c r="I286" s="1233"/>
      <c r="J286" s="1233"/>
      <c r="K286" s="1233"/>
      <c r="L286" s="1236"/>
      <c r="M286" s="1291"/>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3"/>
        <v>2</v>
      </c>
      <c r="AD286" s="567" t="s">
        <v>38</v>
      </c>
      <c r="AE286" s="582" t="str">
        <f>IFERROR(ROUNDDOWN(ROUND(L284*R286,0)*M284,0)*AC286,"")</f>
        <v/>
      </c>
      <c r="AF286" s="571" t="str">
        <f>IFERROR(ROUNDDOWN(ROUND(L284*(R286-P286),0)*M284,0)*AC286,"")</f>
        <v/>
      </c>
      <c r="AG286" s="572">
        <f t="shared" si="334"/>
        <v>0</v>
      </c>
      <c r="AH286" s="451"/>
      <c r="AI286" s="452"/>
      <c r="AJ286" s="453"/>
      <c r="AK286" s="454"/>
      <c r="AL286" s="455"/>
      <c r="AM286" s="456"/>
      <c r="AN286" s="573"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5"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0">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1">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2">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5" customHeight="1">
      <c r="A288" s="1223"/>
      <c r="B288" s="1220"/>
      <c r="C288" s="1220"/>
      <c r="D288" s="1220"/>
      <c r="E288" s="1220"/>
      <c r="F288" s="1220"/>
      <c r="G288" s="1232"/>
      <c r="H288" s="1232"/>
      <c r="I288" s="1232"/>
      <c r="J288" s="1232"/>
      <c r="K288" s="1232"/>
      <c r="L288" s="1235"/>
      <c r="M288" s="1290"/>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0"/>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5" customHeight="1" thickBot="1">
      <c r="A289" s="1224"/>
      <c r="B289" s="1221"/>
      <c r="C289" s="1221"/>
      <c r="D289" s="1221"/>
      <c r="E289" s="1221"/>
      <c r="F289" s="1221"/>
      <c r="G289" s="1233"/>
      <c r="H289" s="1233"/>
      <c r="I289" s="1233"/>
      <c r="J289" s="1233"/>
      <c r="K289" s="1233"/>
      <c r="L289" s="1236"/>
      <c r="M289" s="1291"/>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0"/>
        <v>2</v>
      </c>
      <c r="AD289" s="567" t="s">
        <v>38</v>
      </c>
      <c r="AE289" s="582" t="str">
        <f>IFERROR(ROUNDDOWN(ROUND(L287*R289,0)*M287,0)*AC289,"")</f>
        <v/>
      </c>
      <c r="AF289" s="571" t="str">
        <f>IFERROR(ROUNDDOWN(ROUND(L287*(R289-P289),0)*M287,0)*AC289,"")</f>
        <v/>
      </c>
      <c r="AG289" s="572">
        <f t="shared" si="334"/>
        <v>0</v>
      </c>
      <c r="AH289" s="451"/>
      <c r="AI289" s="452"/>
      <c r="AJ289" s="453"/>
      <c r="AK289" s="454"/>
      <c r="AL289" s="455"/>
      <c r="AM289" s="456"/>
      <c r="AN289" s="573"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5"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0"/>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5">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6">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5" customHeight="1">
      <c r="A291" s="1223"/>
      <c r="B291" s="1220"/>
      <c r="C291" s="1220"/>
      <c r="D291" s="1220"/>
      <c r="E291" s="1220"/>
      <c r="F291" s="1220"/>
      <c r="G291" s="1232"/>
      <c r="H291" s="1232"/>
      <c r="I291" s="1232"/>
      <c r="J291" s="1232"/>
      <c r="K291" s="1232"/>
      <c r="L291" s="1235"/>
      <c r="M291" s="1290"/>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0"/>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5" customHeight="1" thickBot="1">
      <c r="A292" s="1224"/>
      <c r="B292" s="1221"/>
      <c r="C292" s="1221"/>
      <c r="D292" s="1221"/>
      <c r="E292" s="1221"/>
      <c r="F292" s="1221"/>
      <c r="G292" s="1233"/>
      <c r="H292" s="1233"/>
      <c r="I292" s="1233"/>
      <c r="J292" s="1233"/>
      <c r="K292" s="1233"/>
      <c r="L292" s="1236"/>
      <c r="M292" s="1291"/>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0"/>
        <v>2</v>
      </c>
      <c r="AD292" s="567" t="s">
        <v>38</v>
      </c>
      <c r="AE292" s="582" t="str">
        <f>IFERROR(ROUNDDOWN(ROUND(L290*R292,0)*M290,0)*AC292,"")</f>
        <v/>
      </c>
      <c r="AF292" s="571" t="str">
        <f>IFERROR(ROUNDDOWN(ROUND(L290*(R292-P292),0)*M290,0)*AC292,"")</f>
        <v/>
      </c>
      <c r="AG292" s="572">
        <f t="shared" si="334"/>
        <v>0</v>
      </c>
      <c r="AH292" s="451"/>
      <c r="AI292" s="452"/>
      <c r="AJ292" s="453"/>
      <c r="AK292" s="454"/>
      <c r="AL292" s="455"/>
      <c r="AM292" s="456"/>
      <c r="AN292" s="573"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5"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0"/>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89">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0">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5" customHeight="1">
      <c r="A294" s="1223"/>
      <c r="B294" s="1220"/>
      <c r="C294" s="1220"/>
      <c r="D294" s="1220"/>
      <c r="E294" s="1220"/>
      <c r="F294" s="1220"/>
      <c r="G294" s="1232"/>
      <c r="H294" s="1232"/>
      <c r="I294" s="1232"/>
      <c r="J294" s="1232"/>
      <c r="K294" s="1232"/>
      <c r="L294" s="1235"/>
      <c r="M294" s="1290"/>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0"/>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5" customHeight="1" thickBot="1">
      <c r="A295" s="1224"/>
      <c r="B295" s="1221"/>
      <c r="C295" s="1221"/>
      <c r="D295" s="1221"/>
      <c r="E295" s="1221"/>
      <c r="F295" s="1221"/>
      <c r="G295" s="1233"/>
      <c r="H295" s="1233"/>
      <c r="I295" s="1233"/>
      <c r="J295" s="1233"/>
      <c r="K295" s="1233"/>
      <c r="L295" s="1236"/>
      <c r="M295" s="1291"/>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0"/>
        <v>2</v>
      </c>
      <c r="AD295" s="567" t="s">
        <v>38</v>
      </c>
      <c r="AE295" s="582" t="str">
        <f>IFERROR(ROUNDDOWN(ROUND(L293*R295,0)*M293,0)*AC295,"")</f>
        <v/>
      </c>
      <c r="AF295" s="571" t="str">
        <f>IFERROR(ROUNDDOWN(ROUND(L293*(R295-P295),0)*M293,0)*AC295,"")</f>
        <v/>
      </c>
      <c r="AG295" s="572">
        <f t="shared" si="334"/>
        <v>0</v>
      </c>
      <c r="AH295" s="451"/>
      <c r="AI295" s="452"/>
      <c r="AJ295" s="453"/>
      <c r="AK295" s="454"/>
      <c r="AL295" s="455"/>
      <c r="AM295" s="456"/>
      <c r="AN295" s="573"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5"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0"/>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3">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4">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5" customHeight="1">
      <c r="A297" s="1223"/>
      <c r="B297" s="1220"/>
      <c r="C297" s="1220"/>
      <c r="D297" s="1220"/>
      <c r="E297" s="1220"/>
      <c r="F297" s="1220"/>
      <c r="G297" s="1232"/>
      <c r="H297" s="1232"/>
      <c r="I297" s="1232"/>
      <c r="J297" s="1232"/>
      <c r="K297" s="1232"/>
      <c r="L297" s="1235"/>
      <c r="M297" s="1290"/>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0"/>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5" customHeight="1" thickBot="1">
      <c r="A298" s="1224"/>
      <c r="B298" s="1221"/>
      <c r="C298" s="1221"/>
      <c r="D298" s="1221"/>
      <c r="E298" s="1221"/>
      <c r="F298" s="1221"/>
      <c r="G298" s="1233"/>
      <c r="H298" s="1233"/>
      <c r="I298" s="1233"/>
      <c r="J298" s="1233"/>
      <c r="K298" s="1233"/>
      <c r="L298" s="1236"/>
      <c r="M298" s="1291"/>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0"/>
        <v>2</v>
      </c>
      <c r="AD298" s="567" t="s">
        <v>38</v>
      </c>
      <c r="AE298" s="582" t="str">
        <f>IFERROR(ROUNDDOWN(ROUND(L296*R298,0)*M296,0)*AC298,"")</f>
        <v/>
      </c>
      <c r="AF298" s="571" t="str">
        <f>IFERROR(ROUNDDOWN(ROUND(L296*(R298-P298),0)*M296,0)*AC298,"")</f>
        <v/>
      </c>
      <c r="AG298" s="572">
        <f t="shared" si="334"/>
        <v>0</v>
      </c>
      <c r="AH298" s="451"/>
      <c r="AI298" s="452"/>
      <c r="AJ298" s="453"/>
      <c r="AK298" s="454"/>
      <c r="AL298" s="455"/>
      <c r="AM298" s="456"/>
      <c r="AN298" s="573"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5"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0"/>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7">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398">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5" customHeight="1">
      <c r="A300" s="1223"/>
      <c r="B300" s="1220"/>
      <c r="C300" s="1220"/>
      <c r="D300" s="1220"/>
      <c r="E300" s="1220"/>
      <c r="F300" s="1220"/>
      <c r="G300" s="1232"/>
      <c r="H300" s="1232"/>
      <c r="I300" s="1232"/>
      <c r="J300" s="1232"/>
      <c r="K300" s="1232"/>
      <c r="L300" s="1235"/>
      <c r="M300" s="1290"/>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0"/>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5" customHeight="1" thickBot="1">
      <c r="A301" s="1224"/>
      <c r="B301" s="1221"/>
      <c r="C301" s="1221"/>
      <c r="D301" s="1221"/>
      <c r="E301" s="1221"/>
      <c r="F301" s="1221"/>
      <c r="G301" s="1233"/>
      <c r="H301" s="1233"/>
      <c r="I301" s="1233"/>
      <c r="J301" s="1233"/>
      <c r="K301" s="1233"/>
      <c r="L301" s="1236"/>
      <c r="M301" s="1291"/>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0"/>
        <v>2</v>
      </c>
      <c r="AD301" s="567" t="s">
        <v>38</v>
      </c>
      <c r="AE301" s="582" t="str">
        <f>IFERROR(ROUNDDOWN(ROUND(L299*R301,0)*M299,0)*AC301,"")</f>
        <v/>
      </c>
      <c r="AF301" s="571" t="str">
        <f>IFERROR(ROUNDDOWN(ROUND(L299*(R301-P301),0)*M299,0)*AC301,"")</f>
        <v/>
      </c>
      <c r="AG301" s="572">
        <f t="shared" si="334"/>
        <v>0</v>
      </c>
      <c r="AH301" s="451"/>
      <c r="AI301" s="452"/>
      <c r="AJ301" s="453"/>
      <c r="AK301" s="454"/>
      <c r="AL301" s="455"/>
      <c r="AM301" s="456"/>
      <c r="AN301" s="573"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5"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0"/>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1">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2">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5" customHeight="1">
      <c r="A303" s="1223"/>
      <c r="B303" s="1220"/>
      <c r="C303" s="1220"/>
      <c r="D303" s="1220"/>
      <c r="E303" s="1220"/>
      <c r="F303" s="1220"/>
      <c r="G303" s="1232"/>
      <c r="H303" s="1232"/>
      <c r="I303" s="1232"/>
      <c r="J303" s="1232"/>
      <c r="K303" s="1232"/>
      <c r="L303" s="1235"/>
      <c r="M303" s="1290"/>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0"/>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5" customHeight="1" thickBot="1">
      <c r="A304" s="1224"/>
      <c r="B304" s="1221"/>
      <c r="C304" s="1221"/>
      <c r="D304" s="1221"/>
      <c r="E304" s="1221"/>
      <c r="F304" s="1221"/>
      <c r="G304" s="1233"/>
      <c r="H304" s="1233"/>
      <c r="I304" s="1233"/>
      <c r="J304" s="1233"/>
      <c r="K304" s="1233"/>
      <c r="L304" s="1236"/>
      <c r="M304" s="1291"/>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0"/>
        <v>2</v>
      </c>
      <c r="AD304" s="567" t="s">
        <v>38</v>
      </c>
      <c r="AE304" s="582" t="str">
        <f>IFERROR(ROUNDDOWN(ROUND(L302*R304,0)*M302,0)*AC304,"")</f>
        <v/>
      </c>
      <c r="AF304" s="571" t="str">
        <f>IFERROR(ROUNDDOWN(ROUND(L302*(R304-P304),0)*M302,0)*AC304,"")</f>
        <v/>
      </c>
      <c r="AG304" s="572">
        <f t="shared" si="334"/>
        <v>0</v>
      </c>
      <c r="AH304" s="451"/>
      <c r="AI304" s="452"/>
      <c r="AJ304" s="453"/>
      <c r="AK304" s="454"/>
      <c r="AL304" s="455"/>
      <c r="AM304" s="456"/>
      <c r="AN304" s="573"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5"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0"/>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5">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6">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5" customHeight="1">
      <c r="A306" s="1223"/>
      <c r="B306" s="1220"/>
      <c r="C306" s="1220"/>
      <c r="D306" s="1220"/>
      <c r="E306" s="1220"/>
      <c r="F306" s="1220"/>
      <c r="G306" s="1232"/>
      <c r="H306" s="1232"/>
      <c r="I306" s="1232"/>
      <c r="J306" s="1232"/>
      <c r="K306" s="1232"/>
      <c r="L306" s="1235"/>
      <c r="M306" s="1290"/>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0"/>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5" customHeight="1" thickBot="1">
      <c r="A307" s="1224"/>
      <c r="B307" s="1221"/>
      <c r="C307" s="1221"/>
      <c r="D307" s="1221"/>
      <c r="E307" s="1221"/>
      <c r="F307" s="1221"/>
      <c r="G307" s="1233"/>
      <c r="H307" s="1233"/>
      <c r="I307" s="1233"/>
      <c r="J307" s="1233"/>
      <c r="K307" s="1233"/>
      <c r="L307" s="1236"/>
      <c r="M307" s="1291"/>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0"/>
        <v>2</v>
      </c>
      <c r="AD307" s="567" t="s">
        <v>38</v>
      </c>
      <c r="AE307" s="582" t="str">
        <f>IFERROR(ROUNDDOWN(ROUND(L305*R307,0)*M305,0)*AC307,"")</f>
        <v/>
      </c>
      <c r="AF307" s="571" t="str">
        <f>IFERROR(ROUNDDOWN(ROUND(L305*(R307-P307),0)*M305,0)*AC307,"")</f>
        <v/>
      </c>
      <c r="AG307" s="572">
        <f t="shared" si="334"/>
        <v>0</v>
      </c>
      <c r="AH307" s="451"/>
      <c r="AI307" s="452"/>
      <c r="AJ307" s="453"/>
      <c r="AK307" s="454"/>
      <c r="AL307" s="455"/>
      <c r="AM307" s="456"/>
      <c r="AN307" s="573"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5"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0"/>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09">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0">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5" customHeight="1">
      <c r="A309" s="1223"/>
      <c r="B309" s="1220"/>
      <c r="C309" s="1220"/>
      <c r="D309" s="1220"/>
      <c r="E309" s="1220"/>
      <c r="F309" s="1220"/>
      <c r="G309" s="1232"/>
      <c r="H309" s="1232"/>
      <c r="I309" s="1232"/>
      <c r="J309" s="1232"/>
      <c r="K309" s="1232"/>
      <c r="L309" s="1235"/>
      <c r="M309" s="1290"/>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0"/>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5" customHeight="1" thickBot="1">
      <c r="A310" s="1224"/>
      <c r="B310" s="1221"/>
      <c r="C310" s="1221"/>
      <c r="D310" s="1221"/>
      <c r="E310" s="1221"/>
      <c r="F310" s="1221"/>
      <c r="G310" s="1233"/>
      <c r="H310" s="1233"/>
      <c r="I310" s="1233"/>
      <c r="J310" s="1233"/>
      <c r="K310" s="1233"/>
      <c r="L310" s="1236"/>
      <c r="M310" s="1291"/>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0"/>
        <v>2</v>
      </c>
      <c r="AD310" s="567" t="s">
        <v>38</v>
      </c>
      <c r="AE310" s="582" t="str">
        <f>IFERROR(ROUNDDOWN(ROUND(L308*R310,0)*M308,0)*AC310,"")</f>
        <v/>
      </c>
      <c r="AF310" s="571" t="str">
        <f>IFERROR(ROUNDDOWN(ROUND(L308*(R310-P310),0)*M308,0)*AC310,"")</f>
        <v/>
      </c>
      <c r="AG310" s="572">
        <f t="shared" si="334"/>
        <v>0</v>
      </c>
      <c r="AH310" s="451"/>
      <c r="AI310" s="452"/>
      <c r="AJ310" s="453"/>
      <c r="AK310" s="454"/>
      <c r="AL310" s="455"/>
      <c r="AM310" s="456"/>
      <c r="AN310" s="573"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5"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0"/>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3">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4">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5" customHeight="1">
      <c r="A312" s="1223"/>
      <c r="B312" s="1220"/>
      <c r="C312" s="1220"/>
      <c r="D312" s="1220"/>
      <c r="E312" s="1220"/>
      <c r="F312" s="1220"/>
      <c r="G312" s="1232"/>
      <c r="H312" s="1232"/>
      <c r="I312" s="1232"/>
      <c r="J312" s="1232"/>
      <c r="K312" s="1232"/>
      <c r="L312" s="1235"/>
      <c r="M312" s="1290"/>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0"/>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5" customHeight="1" thickBot="1">
      <c r="A313" s="1224"/>
      <c r="B313" s="1221"/>
      <c r="C313" s="1221"/>
      <c r="D313" s="1221"/>
      <c r="E313" s="1221"/>
      <c r="F313" s="1221"/>
      <c r="G313" s="1233"/>
      <c r="H313" s="1233"/>
      <c r="I313" s="1233"/>
      <c r="J313" s="1233"/>
      <c r="K313" s="1233"/>
      <c r="L313" s="1236"/>
      <c r="M313" s="1291"/>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0"/>
        <v>2</v>
      </c>
      <c r="AD313" s="567" t="s">
        <v>38</v>
      </c>
      <c r="AE313" s="582" t="str">
        <f>IFERROR(ROUNDDOWN(ROUND(L311*R313,0)*M311,0)*AC313,"")</f>
        <v/>
      </c>
      <c r="AF313" s="571" t="str">
        <f>IFERROR(ROUNDDOWN(ROUND(L311*(R313-P313),0)*M311,0)*AC313,"")</f>
        <v/>
      </c>
      <c r="AG313" s="572">
        <f t="shared" si="334"/>
        <v>0</v>
      </c>
      <c r="AH313" s="451"/>
      <c r="AI313" s="452"/>
      <c r="AJ313" s="453"/>
      <c r="AK313" s="454"/>
      <c r="AL313" s="455"/>
      <c r="AM313" s="456"/>
      <c r="AN313" s="573"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53125" defaultRowHeight="16.5"/>
  <cols>
    <col min="1" max="1" width="5.6328125" customWidth="1"/>
    <col min="2" max="6" width="2.6328125" style="509" customWidth="1"/>
    <col min="7" max="7" width="12.6328125" customWidth="1"/>
    <col min="8" max="8" width="9" customWidth="1"/>
    <col min="9" max="9" width="9.36328125" style="670" customWidth="1"/>
    <col min="10" max="10" width="14.6328125" customWidth="1"/>
    <col min="11" max="11" width="17.36328125" style="265" customWidth="1"/>
    <col min="12" max="12" width="14" customWidth="1"/>
    <col min="13" max="13" width="7.6328125" customWidth="1"/>
    <col min="14" max="14" width="15" style="594" customWidth="1"/>
    <col min="15" max="15" width="5.90625" style="594" customWidth="1"/>
    <col min="16" max="16" width="2.08984375" style="593" customWidth="1"/>
    <col min="17" max="17" width="15" style="594" customWidth="1"/>
    <col min="18" max="18" width="2" style="594" customWidth="1"/>
    <col min="19" max="19" width="7.08984375" style="594" customWidth="1"/>
    <col min="20" max="20" width="18.36328125" style="594" customWidth="1"/>
    <col min="21" max="21" width="15.08984375" style="593" customWidth="1"/>
    <col min="22" max="22" width="7" style="594" customWidth="1"/>
    <col min="23" max="23" width="4.6328125" style="265" customWidth="1"/>
    <col min="24" max="25" width="2.90625" style="265" customWidth="1"/>
    <col min="26" max="26" width="3.6328125" style="265" customWidth="1"/>
    <col min="27" max="27" width="9.90625" style="265" customWidth="1"/>
    <col min="28" max="29" width="2.90625" style="265" customWidth="1"/>
    <col min="30" max="30" width="3.453125" style="265" customWidth="1"/>
    <col min="31" max="32" width="2.90625" style="265" customWidth="1"/>
    <col min="33" max="33" width="4.6328125" style="265" customWidth="1"/>
    <col min="34" max="34" width="6.08984375" style="265" customWidth="1"/>
    <col min="35" max="37" width="14.36328125" style="594" customWidth="1"/>
    <col min="38" max="38" width="9.90625" customWidth="1"/>
    <col min="39" max="39" width="14.36328125" style="594" customWidth="1"/>
    <col min="40" max="40" width="9.90625" customWidth="1"/>
    <col min="41" max="41" width="11.90625" customWidth="1"/>
    <col min="42" max="42" width="9.90625" customWidth="1"/>
    <col min="43" max="43" width="12.1796875" customWidth="1"/>
    <col min="44" max="44" width="11.90625" style="643" customWidth="1"/>
    <col min="45" max="45" width="22.36328125" style="423" customWidth="1"/>
    <col min="46" max="46" width="50.6328125" style="423" customWidth="1"/>
    <col min="47" max="47" width="7.08984375" style="423" customWidth="1"/>
    <col min="48" max="62" width="6.90625" style="420" hidden="1" customWidth="1"/>
    <col min="63" max="63" width="6.90625" style="576" hidden="1" customWidth="1"/>
    <col min="64" max="64" width="22.0898437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5" t="s">
        <v>54</v>
      </c>
      <c r="AR1" s="1516"/>
      <c r="AS1" s="600" t="str">
        <f>IF(基本情報入力シート!C33="","",基本情報入力シート!C33)</f>
        <v>○○市</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30" t="s">
        <v>2352</v>
      </c>
      <c r="B5" s="1225"/>
      <c r="C5" s="1225"/>
      <c r="D5" s="1225"/>
      <c r="E5" s="1225"/>
      <c r="F5" s="1225"/>
      <c r="G5" s="1225"/>
      <c r="H5" s="1225"/>
      <c r="I5" s="1225"/>
      <c r="J5" s="1225"/>
      <c r="K5" s="1226"/>
      <c r="L5" s="607">
        <f>IFERROR(SUMIF(T:T, "令和６年度の算定予定", AI:AI),"")</f>
        <v>97870339</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31" t="s">
        <v>2353</v>
      </c>
      <c r="C6" s="1225"/>
      <c r="D6" s="1225"/>
      <c r="E6" s="1225"/>
      <c r="F6" s="1225"/>
      <c r="G6" s="1225"/>
      <c r="H6" s="1225"/>
      <c r="I6" s="1225"/>
      <c r="J6" s="1225"/>
      <c r="K6" s="1226"/>
      <c r="L6" s="612">
        <f>IFERROR(SUMIF(T:T, "令和６年度の算定予定", AK:AK),"")</f>
        <v>51490195</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11"/>
      <c r="B7" s="1331" t="s">
        <v>2354</v>
      </c>
      <c r="C7" s="1225"/>
      <c r="D7" s="1225"/>
      <c r="E7" s="1225"/>
      <c r="F7" s="1225"/>
      <c r="G7" s="1225"/>
      <c r="H7" s="1225"/>
      <c r="I7" s="1225"/>
      <c r="J7" s="1225"/>
      <c r="K7" s="1226"/>
      <c r="L7" s="612">
        <f>IFERROR(SUMIF(T:T, "令和６年度の算定予定", AM:AM),"")</f>
        <v>6130688</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6" t="s">
        <v>2101</v>
      </c>
      <c r="AL7" s="1397"/>
      <c r="AM7" s="1397"/>
      <c r="AN7" s="1397"/>
      <c r="AO7" s="1397"/>
      <c r="AP7" s="1397"/>
      <c r="AQ7" s="1398"/>
      <c r="AR7" s="618">
        <f>SUMIF(T:T,"令和６年度の算定予定",AR:AR)</f>
        <v>5</v>
      </c>
      <c r="AS7" s="517"/>
      <c r="AT7" s="517"/>
      <c r="AY7" s="617"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19"/>
      <c r="B8" s="1331" t="s">
        <v>2355</v>
      </c>
      <c r="C8" s="1225"/>
      <c r="D8" s="1225"/>
      <c r="E8" s="1225"/>
      <c r="F8" s="1225"/>
      <c r="G8" s="1225"/>
      <c r="H8" s="1225"/>
      <c r="I8" s="1225"/>
      <c r="J8" s="1225"/>
      <c r="K8" s="1226"/>
      <c r="L8" s="620">
        <f>IFERROR(SUMIF(T:T, "令和６年度の算定予定", AJ:AJ),"")</f>
        <v>77151331</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6" t="s">
        <v>2312</v>
      </c>
      <c r="AL8" s="1397"/>
      <c r="AM8" s="1397"/>
      <c r="AN8" s="1397"/>
      <c r="AO8" s="1397"/>
      <c r="AP8" s="1397"/>
      <c r="AQ8" s="1398"/>
      <c r="AR8" s="624">
        <f>SUM(BJ:BJ)</f>
        <v>5</v>
      </c>
      <c r="AS8" s="517"/>
      <c r="AT8" s="517"/>
      <c r="AY8" s="617" t="s">
        <v>2328</v>
      </c>
      <c r="AZ8" s="1513" t="str">
        <f>'別紙様式2-4（年度内の区分変更がある場合に記入）'!AV7</f>
        <v>旧処遇加算Ⅰ相当あり</v>
      </c>
      <c r="BA8" s="1513"/>
      <c r="BB8" s="1513"/>
      <c r="BC8" s="1513" t="str">
        <f>'別紙様式2-4（年度内の区分変更がある場合に記入）'!AX7</f>
        <v>旧処遇加算Ⅰ・Ⅱ相当あり</v>
      </c>
      <c r="BD8" s="1513"/>
      <c r="BE8" s="1513"/>
      <c r="BF8" s="1513" t="str">
        <f>'別紙様式2-4（年度内の区分変更がある場合に記入）'!AZ7</f>
        <v>旧特定加算相当あり</v>
      </c>
      <c r="BG8" s="1513"/>
      <c r="BH8" s="1513"/>
      <c r="BI8" s="1513" t="str">
        <f>'別紙様式2-4（年度内の区分変更がある場合に記入）'!BC7</f>
        <v>旧特定加算Ⅰ相当あり</v>
      </c>
      <c r="BJ8" s="1513"/>
      <c r="BK8" s="1513"/>
    </row>
    <row r="9" spans="1:64" ht="35.25" customHeight="1" thickBot="1">
      <c r="A9" s="1332" t="s">
        <v>2210</v>
      </c>
      <c r="B9" s="1333"/>
      <c r="C9" s="1333"/>
      <c r="D9" s="1333"/>
      <c r="E9" s="1333"/>
      <c r="F9" s="1333"/>
      <c r="G9" s="1333"/>
      <c r="H9" s="1333"/>
      <c r="I9" s="1333"/>
      <c r="J9" s="1333"/>
      <c r="K9" s="1334"/>
      <c r="L9" s="625">
        <f>IFERROR(SUMIF(T:T, "（参考）令和７年度の移行予定", AJ:AJ),"")</f>
        <v>8432820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7" t="s">
        <v>2358</v>
      </c>
      <c r="B10" s="1287"/>
      <c r="C10" s="1287"/>
      <c r="D10" s="1287"/>
      <c r="E10" s="1287"/>
      <c r="F10" s="1287"/>
      <c r="G10" s="1287"/>
      <c r="H10" s="1287"/>
      <c r="I10" s="1287"/>
      <c r="J10" s="1287"/>
      <c r="K10" s="1287"/>
      <c r="L10" s="1287"/>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8"/>
      <c r="B11" s="1288"/>
      <c r="C11" s="1288"/>
      <c r="D11" s="1288"/>
      <c r="E11" s="1288"/>
      <c r="F11" s="1288"/>
      <c r="G11" s="1288"/>
      <c r="H11" s="1288"/>
      <c r="I11" s="1288"/>
      <c r="J11" s="1288"/>
      <c r="K11" s="1288"/>
      <c r="L11" s="1288"/>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9" t="str">
        <f>IFERROR(IF(COUNTIF(BF:BF,"未入力")=0,"○","未入力あり"),"")</f>
        <v>○</v>
      </c>
      <c r="AN11" s="1510"/>
      <c r="AO11" s="629" t="str">
        <f>IFERROR(IF(COUNTIF(BG:BG,"未入力")=0,"○","未入力あり"),"")</f>
        <v>○</v>
      </c>
      <c r="AP11" s="629" t="str">
        <f>IFERROR(IF(COUNTIF(BH:BH,"未入力")=0,"○","未入力あり"),"")</f>
        <v>○</v>
      </c>
      <c r="AQ11" s="629" t="str">
        <f>IFERROR(IF(COUNTIF(BI:BI,"未入力")=0,"○","未入力あり"),"")</f>
        <v>○</v>
      </c>
      <c r="AR11" s="630" t="str">
        <f>IF(BF7="旧特定加算相当なし","",IF(AR7&gt;=AR8,"○","×"))</f>
        <v>○</v>
      </c>
      <c r="AS11" s="631" t="str">
        <f>IF(BI7="旧特定加算Ⅰ相当なし","",IF(COUNTIF(BK:BK,"未入力")=0,"○","未入力あり"))</f>
        <v>○</v>
      </c>
      <c r="AT11" s="632"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3" t="s">
        <v>234</v>
      </c>
      <c r="AR12" s="523" t="s">
        <v>238</v>
      </c>
      <c r="AS12" s="524" t="s">
        <v>239</v>
      </c>
      <c r="AT12" s="1340" t="s">
        <v>2314</v>
      </c>
      <c r="AU12" s="534"/>
      <c r="AV12" s="1335" t="s">
        <v>2313</v>
      </c>
      <c r="AW12" s="1335"/>
      <c r="BL12" s="1229" t="s">
        <v>2346</v>
      </c>
    </row>
    <row r="13" spans="1:64" ht="159.75" customHeight="1" thickBot="1">
      <c r="A13" s="1471"/>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3" t="s">
        <v>2342</v>
      </c>
      <c r="AL13" s="530" t="s">
        <v>2180</v>
      </c>
      <c r="AM13" s="530" t="s">
        <v>2163</v>
      </c>
      <c r="AN13" s="531" t="s">
        <v>2181</v>
      </c>
      <c r="AO13" s="531" t="s">
        <v>2319</v>
      </c>
      <c r="AP13" s="530" t="s">
        <v>2320</v>
      </c>
      <c r="AQ13" s="532" t="s">
        <v>233</v>
      </c>
      <c r="AR13" s="532" t="s">
        <v>2415</v>
      </c>
      <c r="AS13" s="666" t="s">
        <v>2324</v>
      </c>
      <c r="AT13" s="1228"/>
      <c r="AU13" s="634"/>
      <c r="AV13" s="535" t="s">
        <v>2176</v>
      </c>
      <c r="AW13" s="635" t="s">
        <v>2203</v>
      </c>
      <c r="AX13" s="636" t="s">
        <v>2204</v>
      </c>
      <c r="AY13" s="535" t="s">
        <v>2170</v>
      </c>
      <c r="AZ13" s="1489" t="s">
        <v>2185</v>
      </c>
      <c r="BA13" s="1489"/>
      <c r="BB13" s="1489"/>
      <c r="BC13" s="1489"/>
      <c r="BD13" s="1489"/>
      <c r="BE13" s="1489"/>
      <c r="BF13" s="535" t="s">
        <v>2184</v>
      </c>
      <c r="BG13" s="535" t="s">
        <v>2171</v>
      </c>
      <c r="BH13" s="535" t="s">
        <v>2172</v>
      </c>
      <c r="BI13" s="535" t="s">
        <v>2173</v>
      </c>
      <c r="BJ13" s="538" t="s">
        <v>2174</v>
      </c>
      <c r="BK13" s="538" t="s">
        <v>2175</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423">
        <f>IF(SUM('別紙様式2-2（４・５月分）'!R14:R16)=0,"",SUM('別紙様式2-2（４・５月分）'!R14:R16))</f>
        <v>0.224</v>
      </c>
      <c r="P14" s="1377" t="str">
        <f>IFERROR(VLOOKUP('別紙様式2-2（４・５月分）'!AR14,【参考】数式用!$AT$5:$AU$22,2,FALSE),"")</f>
        <v>新加算Ⅰ</v>
      </c>
      <c r="Q14" s="1378"/>
      <c r="R14" s="1379"/>
      <c r="S14" s="1473">
        <f>IFERROR(VLOOKUP(K14,【参考】数式用!$A$5:$AB$27,MATCH(P14,【参考】数式用!$B$4:$AB$4,0)+1,0),"")</f>
        <v>0.245</v>
      </c>
      <c r="T14" s="1409" t="s">
        <v>2162</v>
      </c>
      <c r="U14" s="1411" t="s">
        <v>2087</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1666110</v>
      </c>
      <c r="AK14" s="1481">
        <f>IFERROR(IF(AND(OR(N14="",N15="",N17=""),U14=""),0,ROUNDDOWN(ROUNDDOWN(ROUND(L14*VLOOKUP(K14,【参考】数式用!$A$5:$AB$27,MATCH("新加算Ⅳ",【参考】数式用!$B$4:$AB$4,0)+1,0),0)*M14,0)*AG14*0.5,0)),"")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2169</v>
      </c>
      <c r="AP14" s="1399"/>
      <c r="AQ14" s="1399" t="s">
        <v>2169</v>
      </c>
      <c r="AR14" s="1485">
        <v>1</v>
      </c>
      <c r="AS14" s="1487" t="s">
        <v>2266</v>
      </c>
      <c r="AT14" s="548" t="str">
        <f>IF(AV14="","",IF(V14&lt;O14,"！加算の要件上は問題ありませんが、令和６年４・５月と比較して令和６年６月に加算率が下がる計画になっています。",""))</f>
        <v/>
      </c>
      <c r="AU14" s="638"/>
      <c r="AV14" s="1489" t="str">
        <f>IF(K14&lt;&gt;"","V列に色付け","")</f>
        <v>V列に色付け</v>
      </c>
      <c r="AW14" s="639" t="str">
        <f>IF('別紙様式2-2（４・５月分）'!O14="","",'別紙様式2-2（４・５月分）'!O14)</f>
        <v>処遇加算Ⅱ</v>
      </c>
      <c r="AX14" s="1503">
        <f>SUM('別紙様式2-2（４・５月分）'!P14:P16)</f>
        <v>0.16600000000000001</v>
      </c>
      <c r="AY14" s="1502" t="str">
        <f>IFERROR(VLOOKUP(K14,【参考】数式用!$AJ$2:$AK$24,2,FALSE),"")</f>
        <v>訪問介護</v>
      </c>
      <c r="AZ14" s="1318" t="s">
        <v>2087</v>
      </c>
      <c r="BA14" s="1318" t="s">
        <v>2088</v>
      </c>
      <c r="BB14" s="1318" t="s">
        <v>2089</v>
      </c>
      <c r="BC14" s="1318" t="s">
        <v>2090</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35" t="str">
        <f>G14</f>
        <v>東京都</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9"/>
      <c r="AW15" s="1512" t="str">
        <f>IF('別紙様式2-2（４・５月分）'!O15="","",'別紙様式2-2（４・５月分）'!O15)</f>
        <v>特定加算Ⅱ</v>
      </c>
      <c r="AX15" s="1503"/>
      <c r="AY15" s="1502"/>
      <c r="AZ15" s="1318"/>
      <c r="BA15" s="1318"/>
      <c r="BB15" s="1318"/>
      <c r="BC15" s="1318"/>
      <c r="BD15" s="1318"/>
      <c r="BE15" s="1318"/>
      <c r="BF15" s="1318"/>
      <c r="BG15" s="1318"/>
      <c r="BH15" s="1318"/>
      <c r="BI15" s="1318"/>
      <c r="BJ15" s="1508"/>
      <c r="BK15" s="1489"/>
      <c r="BL15" s="535"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IFERROR(VLOOKUP('別紙様式2-2（４・５月分）'!AR14,【参考】数式用!$AT$5:$AV$22,3,FALSE),"")</f>
        <v xml:space="preserve"> </v>
      </c>
      <c r="R16" s="1419" t="s">
        <v>2179</v>
      </c>
      <c r="S16" s="1475" t="str">
        <f>IFERROR(VLOOKUP(K14,【参考】数式用!$A$5:$AB$27,MATCH(Q16,【参考】数式用!$B$4:$AB$4,0)+1,0),"")</f>
        <v/>
      </c>
      <c r="T16" s="1455" t="s">
        <v>217</v>
      </c>
      <c r="U16" s="1457" t="s">
        <v>2087</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1999332</v>
      </c>
      <c r="AK16" s="1490">
        <f>IFERROR(IF(AND(OR(N14="",N15="",N17=""),U14=""),0,ROUNDDOWN(ROUNDDOWN(ROUND(L14*VLOOKUP(K14,【参考】数式用!$A$5:$AB$27,MATCH("新加算Ⅳ",【参考】数式用!$B$4:$AB$4,0)+1,0),0)*M14,0)*AG16*0.5,0)),"")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38"/>
      <c r="AV16" s="1489" t="str">
        <f>IF(K14&lt;&gt;"","V列に色付け","")</f>
        <v>V列に色付け</v>
      </c>
      <c r="AW16" s="1512"/>
      <c r="AX16" s="1503"/>
      <c r="AY16"/>
      <c r="AZ16"/>
      <c r="BA16"/>
      <c r="BB16"/>
      <c r="BC16"/>
      <c r="BD16"/>
      <c r="BE16"/>
      <c r="BF16"/>
      <c r="BG16"/>
      <c r="BH16"/>
      <c r="BI16"/>
      <c r="BJ16"/>
      <c r="BK16"/>
      <c r="BL16" s="535" t="str">
        <f>G14</f>
        <v>東京都</v>
      </c>
    </row>
    <row r="17" spans="1:64"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9"/>
      <c r="AW17" s="639" t="str">
        <f>IF('別紙様式2-2（４・５月分）'!O16="","",'別紙様式2-2（４・５月分）'!O16)</f>
        <v>ベア加算</v>
      </c>
      <c r="AX17" s="1503"/>
      <c r="AY17"/>
      <c r="AZ17"/>
      <c r="BA17"/>
      <c r="BB17"/>
      <c r="BC17"/>
      <c r="BD17"/>
      <c r="BE17"/>
      <c r="BF17"/>
      <c r="BG17"/>
      <c r="BH17"/>
      <c r="BI17"/>
      <c r="BJ17"/>
      <c r="BK17"/>
      <c r="BL17" s="535"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2162</v>
      </c>
      <c r="U18" s="1411" t="s">
        <v>2450</v>
      </c>
      <c r="V18" s="1453">
        <f>IFERROR(VLOOKUP(K18,【参考】数式用!$A$5:$AB$27,MATCH(U18,【参考】数式用!$B$4:$AB$4,0)+1,0),"")</f>
        <v>0.20799999999999999</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1968090</v>
      </c>
      <c r="AJ18" s="1479">
        <f>IFERROR(ROUNDDOWN(ROUND((L18*(V18-AX18)),0)*M18,0)*AG18,"")</f>
        <v>624490</v>
      </c>
      <c r="AK18" s="1481">
        <f>IFERROR(IF(AND(OR(N18="",N19="",N21=""),U18=""),0,ROUNDDOWN(ROUNDDOWN(ROUND(L18*VLOOKUP(K18,【参考】数式用!$A$5:$AB$27,MATCH("新加算Ⅳ",【参考】数式用!$B$4:$AB$4,0)+1,0),0)*M18,0)*AG18*0.5,0)),"")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2169</v>
      </c>
      <c r="AP18" s="1399"/>
      <c r="AQ18" s="1399"/>
      <c r="AR18" s="1485"/>
      <c r="AS18" s="1487" t="s">
        <v>2340</v>
      </c>
      <c r="AT18" s="548" t="str">
        <f t="shared" ref="AT18:AT78" si="0">IF(AV18="","",IF(V18&lt;O18,"！加算の要件上は問題ありませんが、令和６年４・５月と比較して令和６年６月に加算率が下がる計画になっています。",""))</f>
        <v/>
      </c>
      <c r="AU18" s="641"/>
      <c r="AV18" s="1489" t="str">
        <f>IF(K18&lt;&gt;"","V列に色付け","")</f>
        <v>V列に色付け</v>
      </c>
      <c r="AW18" s="639" t="str">
        <f>IF('別紙様式2-2（４・５月分）'!O17="","",'別紙様式2-2（４・５月分）'!O17)</f>
        <v>処遇加算Ⅱ</v>
      </c>
      <c r="AX18" s="1503">
        <f>SUM('別紙様式2-2（４・５月分）'!P17:P19)</f>
        <v>0.14200000000000002</v>
      </c>
      <c r="AY18" s="1502" t="str">
        <f>IFERROR(VLOOKUP(K18,【参考】数式用!$AJ$2:$AK$24,2,FALSE),"")</f>
        <v>訪問型サービス_総合事業</v>
      </c>
      <c r="AZ18" s="1318" t="s">
        <v>2087</v>
      </c>
      <c r="BA18" s="1318" t="s">
        <v>2088</v>
      </c>
      <c r="BB18" s="1318" t="s">
        <v>2089</v>
      </c>
      <c r="BC18" s="1318" t="s">
        <v>2090</v>
      </c>
      <c r="BD18" s="1318" t="str">
        <f>IF(AND(P18&lt;&gt;"新加算Ⅰ",P18&lt;&gt;"新加算Ⅱ",P18&lt;&gt;"新加算Ⅲ",P18&lt;&gt;"新加算Ⅳ"),P18,IF(Q20&lt;&gt;"",Q20,""))</f>
        <v>新加算Ⅴ（２）</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35" t="str">
        <f>G18</f>
        <v>千代田区・中央区・港区</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9"/>
      <c r="AW19" s="1512" t="str">
        <f>IF('別紙様式2-2（４・５月分）'!O18="","",'別紙様式2-2（４・５月分）'!O18)</f>
        <v>特定加算Ⅱ</v>
      </c>
      <c r="AX19" s="1503"/>
      <c r="AY19" s="1502"/>
      <c r="AZ19" s="1318"/>
      <c r="BA19" s="1318"/>
      <c r="BB19" s="1318"/>
      <c r="BC19" s="1318"/>
      <c r="BD19" s="1318"/>
      <c r="BE19" s="1318"/>
      <c r="BF19" s="1318"/>
      <c r="BG19" s="1318"/>
      <c r="BH19" s="1318"/>
      <c r="BI19" s="1318"/>
      <c r="BJ19" s="1508"/>
      <c r="BK19" s="1489"/>
      <c r="BL19" s="535"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IFERROR(VLOOKUP('別紙様式2-2（４・５月分）'!AR17,【参考】数式用!$AT$5:$AV$22,3,FALSE),"")</f>
        <v>新加算Ⅴ（２）</v>
      </c>
      <c r="R20" s="1419" t="s">
        <v>2179</v>
      </c>
      <c r="S20" s="1391">
        <f>IFERROR(VLOOKUP(K18,【参考】数式用!$A$5:$AB$27,MATCH(Q20,【参考】数式用!$B$4:$AB$4,0)+1,0),"")</f>
        <v>0.20799999999999999</v>
      </c>
      <c r="T20" s="1455" t="s">
        <v>217</v>
      </c>
      <c r="U20" s="1457" t="s">
        <v>2087</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IFERROR(IF(AND(OR(N18="",N19="",N21=""),U18=""),0,ROUNDDOWN(ROUNDDOWN(ROUND(L18*VLOOKUP(K18,【参考】数式用!$A$5:$AB$27,MATCH("新加算Ⅳ",【参考】数式用!$B$4:$AB$4,0)+1,0),0)*M18,0)*AG20*0.5,0)),"")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新規に適用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41"/>
      <c r="AV20" s="1489" t="str">
        <f>IF(K18&lt;&gt;"","V列に色付け","")</f>
        <v>V列に色付け</v>
      </c>
      <c r="AW20" s="1512"/>
      <c r="AX20" s="1503"/>
      <c r="AY20"/>
      <c r="AZ20"/>
      <c r="BA20"/>
      <c r="BB20"/>
      <c r="BC20"/>
      <c r="BD20"/>
      <c r="BE20"/>
      <c r="BF20"/>
      <c r="BG20"/>
      <c r="BH20"/>
      <c r="BI20"/>
      <c r="BJ20"/>
      <c r="BK20"/>
      <c r="BL20" s="535" t="str">
        <f>G18</f>
        <v>千代田区・中央区・港区</v>
      </c>
    </row>
    <row r="21" spans="1:64"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9"/>
      <c r="AW21" s="639" t="str">
        <f>IF('別紙様式2-2（４・５月分）'!O19="","",'別紙様式2-2（４・５月分）'!O19)</f>
        <v>ベア加算なし</v>
      </c>
      <c r="AX21" s="1503"/>
      <c r="AY21"/>
      <c r="AZ21"/>
      <c r="BA21"/>
      <c r="BB21"/>
      <c r="BC21"/>
      <c r="BD21"/>
      <c r="BE21"/>
      <c r="BF21"/>
      <c r="BG21"/>
      <c r="BH21"/>
      <c r="BI21"/>
      <c r="BJ21"/>
      <c r="BK21"/>
      <c r="BL21" s="535" t="str">
        <f>G18</f>
        <v>千代田区・中央区・港区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2162</v>
      </c>
      <c r="U22" s="1451" t="s">
        <v>2088</v>
      </c>
      <c r="V22" s="1453">
        <f>IFERROR(VLOOKUP(K22,【参考】数式用!$A$5:$AB$27,MATCH(U22,【参考】数式用!$B$4:$AB$4,0)+1,0),"")</f>
        <v>8.9999999999999983E-2</v>
      </c>
      <c r="W22" s="1347" t="s">
        <v>19</v>
      </c>
      <c r="X22" s="1349">
        <v>6</v>
      </c>
      <c r="Y22" s="1351" t="s">
        <v>10</v>
      </c>
      <c r="Z22" s="1349">
        <v>6</v>
      </c>
      <c r="AA22" s="1351" t="s">
        <v>45</v>
      </c>
      <c r="AB22" s="1349">
        <v>7</v>
      </c>
      <c r="AC22" s="1351" t="s">
        <v>10</v>
      </c>
      <c r="AD22" s="1349">
        <v>1</v>
      </c>
      <c r="AE22" s="1351" t="s">
        <v>13</v>
      </c>
      <c r="AF22" s="1351" t="s">
        <v>24</v>
      </c>
      <c r="AG22" s="1351">
        <f>IF(X22&gt;=1,(AB22*12+AD22)-(X22*12+Z22)+1,"")</f>
        <v>8</v>
      </c>
      <c r="AH22" s="1357" t="s">
        <v>38</v>
      </c>
      <c r="AI22" s="1477">
        <f>IFERROR(ROUNDDOWN(ROUND(L22*V22,0)*M22,0)*AG22,"")</f>
        <v>2393640</v>
      </c>
      <c r="AJ22" s="1479">
        <f>IFERROR(ROUNDDOWN(ROUND((L22*(V22-AX22)),0)*M22,0)*AG22,"")</f>
        <v>984048</v>
      </c>
      <c r="AK22" s="1481">
        <f>IFERROR(IF(AND(OR(N22="",N23="",N25=""),U22=""),0,ROUNDDOWN(ROUNDDOWN(ROUND(L22*VLOOKUP(K22,【参考】数式用!$A$5:$AB$27,MATCH("新加算Ⅳ",【参考】数式用!$B$4:$AB$4,0)+1,0),0)*M22,0)*AG22*0.5,0)),"")</f>
        <v>851072</v>
      </c>
      <c r="AL22" s="1429"/>
      <c r="AM22" s="1483">
        <f>IFERROR(IF(OR(N25="ベア加算",N25=""),0, IF(OR(U22="新加算Ⅰ",U22="新加算Ⅱ",U22="新加算Ⅲ",U22="新加算Ⅳ"),ROUNDDOWN(ROUND(L22*VLOOKUP(K22,【参考】数式用!$A$5:$I$27,MATCH("ベア加算",【参考】数式用!$B$4:$I$4,0)+1,0),0)*M22,0)*AG22,0)),"")</f>
        <v>292552</v>
      </c>
      <c r="AN22" s="1498" t="s">
        <v>2419</v>
      </c>
      <c r="AO22" s="1361" t="s">
        <v>2419</v>
      </c>
      <c r="AP22" s="1399"/>
      <c r="AQ22" s="1399" t="s">
        <v>2419</v>
      </c>
      <c r="AR22" s="1485">
        <v>1</v>
      </c>
      <c r="AS22" s="1487"/>
      <c r="AT22" s="548" t="str">
        <f t="shared" si="0"/>
        <v/>
      </c>
      <c r="AU22" s="641"/>
      <c r="AV22" s="1489" t="str">
        <f>IF(K22&lt;&gt;"","V列に色付け","")</f>
        <v>V列に色付け</v>
      </c>
      <c r="AW22" s="639" t="str">
        <f>IF('別紙様式2-2（４・５月分）'!O20="","",'別紙様式2-2（４・５月分）'!O20)</f>
        <v>処遇加算Ⅱ</v>
      </c>
      <c r="AX22" s="1503">
        <f>SUM('別紙様式2-2（４・５月分）'!P20:P22)</f>
        <v>5.2999999999999999E-2</v>
      </c>
      <c r="AY22" s="1502" t="str">
        <f>IFERROR(VLOOKUP(K22,【参考】数式用!$AJ$2:$AK$24,2,FALSE),"")</f>
        <v>通所介護</v>
      </c>
      <c r="AZ22" s="1318" t="s">
        <v>2087</v>
      </c>
      <c r="BA22" s="1318" t="s">
        <v>2088</v>
      </c>
      <c r="BB22" s="1318" t="s">
        <v>2089</v>
      </c>
      <c r="BC22" s="1318" t="s">
        <v>2090</v>
      </c>
      <c r="BD22" s="1318" t="str">
        <f>IF(AND(P22&lt;&gt;"新加算Ⅰ",P22&lt;&gt;"新加算Ⅱ",P22&lt;&gt;"新加算Ⅲ",P22&lt;&gt;"新加算Ⅳ"),P22,IF(Q24&lt;&gt;"",Q24,""))</f>
        <v>新加算Ⅴ（６）</v>
      </c>
      <c r="BE22" s="1318"/>
      <c r="BF22" s="1318" t="str">
        <f t="shared" ref="BF22" si="5">IF(AM22&lt;&gt;0,IF(AN22="○","入力済","未入力"),"")</f>
        <v>入力済</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入力済</v>
      </c>
      <c r="BJ22" s="1508">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489" t="str">
        <f>IF(OR(U22="新加算Ⅰ",U22="新加算Ⅴ（１）",U22="新加算Ⅴ（２）",U22="新加算Ⅴ（５）",U22="新加算Ⅴ（７）",U22="新加算Ⅴ（10）"),IF(AS22="","未入力","入力済"),"")</f>
        <v/>
      </c>
      <c r="BL22" s="535" t="str">
        <f>G22</f>
        <v>東京都</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！算定期間の終わりが令和７年３月になっていません。区分変更を行う場合は、別紙様式2-4に記入してください。</v>
      </c>
      <c r="AU23" s="641"/>
      <c r="AV23" s="1489"/>
      <c r="AW23" s="1512" t="str">
        <f>IF('別紙様式2-2（４・５月分）'!O21="","",'別紙様式2-2（４・５月分）'!O21)</f>
        <v>特定加算Ⅱ</v>
      </c>
      <c r="AX23" s="1503"/>
      <c r="AY23" s="1502"/>
      <c r="AZ23" s="1318"/>
      <c r="BA23" s="1318"/>
      <c r="BB23" s="1318"/>
      <c r="BC23" s="1318"/>
      <c r="BD23" s="1318"/>
      <c r="BE23" s="1318"/>
      <c r="BF23" s="1318"/>
      <c r="BG23" s="1318"/>
      <c r="BH23" s="1318"/>
      <c r="BI23" s="1318"/>
      <c r="BJ23" s="1508"/>
      <c r="BK23" s="1489"/>
      <c r="BL23" s="535"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IFERROR(VLOOKUP('別紙様式2-2（４・５月分）'!AR20,【参考】数式用!$AT$5:$AV$22,3,FALSE),"")</f>
        <v xml:space="preserve"> </v>
      </c>
      <c r="R24" s="1385" t="s">
        <v>2179</v>
      </c>
      <c r="S24" s="1393" t="str">
        <f>IFERROR(VLOOKUP(K22,【参考】数式用!$A$5:$AB$27,MATCH(Q24,【参考】数式用!$B$4:$AB$4,0)+1,0),"")</f>
        <v/>
      </c>
      <c r="T24" s="1455" t="s">
        <v>217</v>
      </c>
      <c r="U24" s="1457" t="s">
        <v>2090</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438828</v>
      </c>
      <c r="AK24" s="1490">
        <f>IFERROR(IF(AND(OR(N22="",N23="",N25=""),U22=""),0,ROUNDDOWN(ROUNDDOWN(ROUND(L22*VLOOKUP(K22,【参考】数式用!$A$5:$AB$27,MATCH("新加算Ⅳ",【参考】数式用!$B$4:$AB$4,0)+1,0),0)*M22,0)*AG24*0.5,0)),"")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継続で適用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3" t="str">
        <f>IF(AND(U24&lt;&gt;"",AS22=""),"新規に適用",IF(AND(U24&lt;&gt;"",AS22&lt;&gt;""),"継続で適用",""))</f>
        <v>新規に適用</v>
      </c>
      <c r="AT24" s="1328"/>
      <c r="AU24" s="641"/>
      <c r="AV24" s="1489" t="str">
        <f>IF(K22&lt;&gt;"","V列に色付け","")</f>
        <v>V列に色付け</v>
      </c>
      <c r="AW24" s="1512"/>
      <c r="AX24" s="1503"/>
      <c r="AY24"/>
      <c r="AZ24"/>
      <c r="BA24"/>
      <c r="BB24"/>
      <c r="BC24"/>
      <c r="BD24"/>
      <c r="BE24"/>
      <c r="BF24"/>
      <c r="BG24"/>
      <c r="BH24"/>
      <c r="BI24"/>
      <c r="BJ24"/>
      <c r="BK24"/>
      <c r="BL24" s="535" t="str">
        <f>G22</f>
        <v>東京都</v>
      </c>
    </row>
    <row r="25" spans="1:64"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9"/>
      <c r="AW25" s="639" t="str">
        <f>IF('別紙様式2-2（４・５月分）'!O22="","",'別紙様式2-2（４・５月分）'!O22)</f>
        <v>ベア加算なし</v>
      </c>
      <c r="AX25" s="1503"/>
      <c r="AY25"/>
      <c r="AZ25"/>
      <c r="BA25"/>
      <c r="BB25"/>
      <c r="BC25"/>
      <c r="BD25"/>
      <c r="BE25"/>
      <c r="BF25"/>
      <c r="BG25"/>
      <c r="BH25"/>
      <c r="BI25"/>
      <c r="BJ25"/>
      <c r="BK25"/>
      <c r="BL25" s="535"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2162</v>
      </c>
      <c r="U26" s="1451" t="s">
        <v>2451</v>
      </c>
      <c r="V26" s="1453">
        <f>IFERROR(VLOOKUP(K26,【参考】数式用!$A$5:$AB$27,MATCH(U26,【参考】数式用!$B$4:$AB$4,0)+1,0),"")</f>
        <v>0.10099999999999999</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1547116</v>
      </c>
      <c r="AJ26" s="1479">
        <f>IFERROR(ROUNDDOWN(ROUND((L26*(V26-AX26)),0)*M26,0)*AG26,"")</f>
        <v>919080</v>
      </c>
      <c r="AK26" s="1481">
        <f>IFERROR(IF(AND(OR(N26="",N27="",N29=""),U26=""),0,ROUNDDOWN(ROUNDDOWN(ROUND(L26*VLOOKUP(K26,【参考】数式用!$A$5:$AB$27,MATCH("新加算Ⅳ",【参考】数式用!$B$4:$AB$4,0)+1,0),0)*M26,0)*AG26*0.5,0)),"")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t="s">
        <v>2419</v>
      </c>
      <c r="AP26" s="1399"/>
      <c r="AQ26" s="1399"/>
      <c r="AR26" s="1485">
        <v>1</v>
      </c>
      <c r="AS26" s="1487"/>
      <c r="AT26" s="548" t="str">
        <f t="shared" si="0"/>
        <v/>
      </c>
      <c r="AU26" s="641"/>
      <c r="AV26" s="1489" t="str">
        <f>IF(K26&lt;&gt;"","V列に色付け","")</f>
        <v>V列に色付け</v>
      </c>
      <c r="AW26" s="639" t="str">
        <f>IF('別紙様式2-2（４・５月分）'!O23="","",'別紙様式2-2（４・５月分）'!O23)</f>
        <v>処遇加算Ⅲ</v>
      </c>
      <c r="AX26" s="1503">
        <f>SUM('別紙様式2-2（４・５月分）'!P23:P25)</f>
        <v>4.1000000000000002E-2</v>
      </c>
      <c r="AY26" s="1502" t="str">
        <f>IFERROR(VLOOKUP(K26,【参考】数式用!$AJ$2:$AK$24,2,FALSE),"")</f>
        <v>介護予防_小規模多機能型居宅介護</v>
      </c>
      <c r="AZ26" s="1318" t="s">
        <v>2087</v>
      </c>
      <c r="BA26" s="1318" t="s">
        <v>2088</v>
      </c>
      <c r="BB26" s="1318" t="s">
        <v>2089</v>
      </c>
      <c r="BC26" s="1318" t="s">
        <v>2090</v>
      </c>
      <c r="BD26" s="1318" t="str">
        <f>IF(AND(P26&lt;&gt;"新加算Ⅰ",P26&lt;&gt;"新加算Ⅱ",P26&lt;&gt;"新加算Ⅲ",P26&lt;&gt;"新加算Ⅳ"),P26,IF(Q28&lt;&gt;"",Q28,""))</f>
        <v>新加算Ⅴ（６）</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489" t="str">
        <f>IF(OR(U26="新加算Ⅰ",U26="新加算Ⅴ（１）",U26="新加算Ⅴ（２）",U26="新加算Ⅴ（５）",U26="新加算Ⅴ（７）",U26="新加算Ⅴ（10）"),IF(AS26="","未入力","入力済"),"")</f>
        <v/>
      </c>
      <c r="BL26" s="535" t="str">
        <f>G26</f>
        <v>中央区</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41"/>
      <c r="AV27" s="1489"/>
      <c r="AW27" s="1512" t="str">
        <f>IF('別紙様式2-2（４・５月分）'!O24="","",'別紙様式2-2（４・５月分）'!O24)</f>
        <v>特定加算なし</v>
      </c>
      <c r="AX27" s="1503"/>
      <c r="AY27" s="1502"/>
      <c r="AZ27" s="1318"/>
      <c r="BA27" s="1318"/>
      <c r="BB27" s="1318"/>
      <c r="BC27" s="1318"/>
      <c r="BD27" s="1318"/>
      <c r="BE27" s="1318"/>
      <c r="BF27" s="1318"/>
      <c r="BG27" s="1318"/>
      <c r="BH27" s="1318"/>
      <c r="BI27" s="1318"/>
      <c r="BJ27" s="1508"/>
      <c r="BK27" s="1489"/>
      <c r="BL27" s="535"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217</v>
      </c>
      <c r="U28" s="1457" t="s">
        <v>2088</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IFERROR(IF(AND(OR(N26="",N27="",N29=""),U26=""),0,ROUNDDOWN(ROUNDDOWN(ROUND(L26*VLOOKUP(K26,【参考】数式用!$A$5:$AB$27,MATCH("新加算Ⅳ",【参考】数式用!$B$4:$AB$4,0)+1,0),0)*M26,0)*AG28*0.5,0)),"")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 si="10">IF(AM28=0,"",IF(AND(U28&lt;&gt;"",AN26=""),"新規に適用",IF(AND(U28&lt;&gt;"",AN26&lt;&gt;""),"継続で適用","")))</f>
        <v>新規に適用</v>
      </c>
      <c r="AO28" s="1353" t="str">
        <f>IF(AND(U28&lt;&gt;"",AO26=""),"新規に適用",IF(AND(U28&lt;&gt;"",AO26&lt;&gt;""),"継続で適用",""))</f>
        <v>継続で適用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3" t="str">
        <f>IF(AND(U28&lt;&gt;"",AS26=""),"新規に適用",IF(AND(U28&lt;&gt;"",AS26&lt;&gt;""),"継続で適用",""))</f>
        <v>新規に適用</v>
      </c>
      <c r="AT28" s="1328"/>
      <c r="AU28" s="641"/>
      <c r="AV28" s="1489" t="str">
        <f>IF(K26&lt;&gt;"","V列に色付け","")</f>
        <v>V列に色付け</v>
      </c>
      <c r="AW28" s="1512"/>
      <c r="AX28" s="1503"/>
      <c r="AY28"/>
      <c r="AZ28"/>
      <c r="BA28"/>
      <c r="BB28"/>
      <c r="BC28"/>
      <c r="BD28"/>
      <c r="BE28"/>
      <c r="BF28"/>
      <c r="BG28"/>
      <c r="BH28"/>
      <c r="BI28"/>
      <c r="BJ28"/>
      <c r="BK28"/>
      <c r="BL28" s="535" t="str">
        <f>G26</f>
        <v>中央区</v>
      </c>
    </row>
    <row r="29" spans="1:64"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9"/>
      <c r="AW29" s="639" t="str">
        <f>IF('別紙様式2-2（４・５月分）'!O25="","",'別紙様式2-2（４・５月分）'!O25)</f>
        <v>ベア加算なし</v>
      </c>
      <c r="AX29" s="1503"/>
      <c r="AY29"/>
      <c r="AZ29"/>
      <c r="BA29"/>
      <c r="BB29"/>
      <c r="BC29"/>
      <c r="BD29"/>
      <c r="BE29"/>
      <c r="BF29"/>
      <c r="BG29"/>
      <c r="BH29"/>
      <c r="BI29"/>
      <c r="BJ29"/>
      <c r="BK29"/>
      <c r="BL29" s="535" t="str">
        <f>G26</f>
        <v>中央区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IFERROR(IF(AND(OR(N30="",N31="",N33=""),U30=""),0,ROUNDDOWN(ROUNDDOWN(ROUND(L30*VLOOKUP(K30,【参考】数式用!$A$5:$AB$27,MATCH("新加算Ⅳ",【参考】数式用!$B$4:$AB$4,0)+1,0),0)*M30,0)*AG30*0.5,0)),"")</f>
        <v>9299610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48" t="str">
        <f t="shared" si="0"/>
        <v/>
      </c>
      <c r="AU30" s="641"/>
      <c r="AV30" s="1489" t="str">
        <f>IF(K30&lt;&gt;"","V列に色付け","")</f>
        <v>V列に色付け</v>
      </c>
      <c r="AW30" s="642" t="str">
        <f>IF('別紙様式2-2（４・５月分）'!O26="","",'別紙様式2-2（４・５月分）'!O26)</f>
        <v>処遇加算Ⅱ</v>
      </c>
      <c r="AX30" s="1517">
        <f>SUM('別紙様式2-2（４・５月分）'!P26:P28)</f>
        <v>0.06</v>
      </c>
      <c r="AY30" s="1502" t="str">
        <f>IFERROR(VLOOKUP(K30,【参考】数式用!$AJ$2:$AK$24,2,FALSE),"")</f>
        <v>介護老人福祉施設</v>
      </c>
      <c r="AZ30" s="1318" t="s">
        <v>2087</v>
      </c>
      <c r="BA30" s="1318" t="s">
        <v>2088</v>
      </c>
      <c r="BB30" s="1318" t="s">
        <v>2089</v>
      </c>
      <c r="BC30" s="1318" t="s">
        <v>2090</v>
      </c>
      <c r="BD30" s="1318" t="str">
        <f>IF(AND(P30&lt;&gt;"新加算Ⅰ",P30&lt;&gt;"新加算Ⅱ",P30&lt;&gt;"新加算Ⅲ",P30&lt;&gt;"新加算Ⅳ"),P30,IF(Q32&lt;&gt;"",Q32,""))</f>
        <v>新加算Ⅴ（11）</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5" t="str">
        <f>G30</f>
        <v>千葉県</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1"/>
      <c r="AV31" s="1489"/>
      <c r="AW31" s="1514" t="str">
        <f>IF('別紙様式2-2（４・５月分）'!O27="","",'別紙様式2-2（４・５月分）'!O27)</f>
        <v>特定加算なし</v>
      </c>
      <c r="AX31" s="1517"/>
      <c r="AY31" s="1502"/>
      <c r="AZ31" s="1318"/>
      <c r="BA31" s="1318"/>
      <c r="BB31" s="1318"/>
      <c r="BC31" s="1318"/>
      <c r="BD31" s="1318"/>
      <c r="BE31" s="1318"/>
      <c r="BF31" s="1318"/>
      <c r="BG31" s="1318"/>
      <c r="BH31" s="1318"/>
      <c r="BI31" s="1318"/>
      <c r="BJ31" s="1508"/>
      <c r="BK31" s="1489"/>
      <c r="BL31" s="535"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IFERROR(VLOOKUP('別紙様式2-2（４・５月分）'!AR26,【参考】数式用!$AT$5:$AV$22,3,FALSE),"")</f>
        <v xml:space="preserve">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IFERROR(IF(AND(OR(N30="",N31="",N33=""),U30=""),0,ROUNDDOWN(ROUNDDOWN(ROUND(L30*VLOOKUP(K30,【参考】数式用!$A$5:$AB$27,MATCH("新加算Ⅳ",【参考】数式用!$B$4:$AB$4,0)+1,0),0)*M30,0)*AG32*0.5,0)),"")</f>
        <v>11159532</v>
      </c>
      <c r="AL32" s="1431" t="str">
        <f>IF(U32&lt;&gt;"","新規に適用","")</f>
        <v/>
      </c>
      <c r="AM32" s="1494">
        <f>IFERROR(IF(OR(N33="ベア加算",N33=""),0, IF(OR(U30="新加算Ⅰ",U30="新加算Ⅱ",U30="新加算Ⅲ",U30="新加算Ⅳ"),0,ROUNDDOWN(ROUND(L30*VLOOKUP(K30,【参考】数式用!$A$5:$I$27,MATCH("ベア加算",【参考】数式用!$B$4:$I$4,0)+1,0),0)*M30,0)*AG32)),"")</f>
        <v>3967824</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1"/>
      <c r="AV32" s="1489" t="str">
        <f>IF(K30&lt;&gt;"","V列に色付け","")</f>
        <v>V列に色付け</v>
      </c>
      <c r="AW32" s="1514"/>
      <c r="AX32" s="1517"/>
      <c r="AY32"/>
      <c r="AZ32"/>
      <c r="BA32"/>
      <c r="BB32"/>
      <c r="BC32"/>
      <c r="BD32"/>
      <c r="BE32"/>
      <c r="BF32"/>
      <c r="BG32"/>
      <c r="BH32"/>
      <c r="BI32"/>
      <c r="BJ32"/>
      <c r="BK32"/>
      <c r="BL32" s="535" t="str">
        <f>G30</f>
        <v>千葉県</v>
      </c>
    </row>
    <row r="33" spans="1:64"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1"/>
      <c r="AV33" s="1489"/>
      <c r="AW33" s="642" t="str">
        <f>IF('別紙様式2-2（４・５月分）'!O28="","",'別紙様式2-2（４・５月分）'!O28)</f>
        <v>ベア加算なし</v>
      </c>
      <c r="AX33" s="1518"/>
      <c r="AY33"/>
      <c r="AZ33"/>
      <c r="BA33"/>
      <c r="BB33"/>
      <c r="BC33"/>
      <c r="BD33"/>
      <c r="BE33"/>
      <c r="BF33"/>
      <c r="BG33"/>
      <c r="BH33"/>
      <c r="BI33"/>
      <c r="BJ33"/>
      <c r="BK33"/>
      <c r="BL33" s="535" t="str">
        <f>G30</f>
        <v>千葉県</v>
      </c>
    </row>
    <row r="34" spans="1:64"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2162</v>
      </c>
      <c r="U34" s="1411" t="s">
        <v>2088</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f>IFERROR(ROUNDDOWN(ROUND(L34*V34,0)*M34,0)*AG34,"")</f>
        <v>28105480</v>
      </c>
      <c r="AJ34" s="1479">
        <f>IFERROR(ROUNDDOWN(ROUND((L34*(V34-AX34)),0)*M34,0)*AG34,"")</f>
        <v>15706000</v>
      </c>
      <c r="AK34" s="1481">
        <f>IFERROR(IF(AND(OR(N34="",N35="",N37=""),U34=""),0,ROUNDDOWN(ROUNDDOWN(ROUND(L34*VLOOKUP(K34,【参考】数式用!$A$5:$AB$27,MATCH("新加算Ⅳ",【参考】数式用!$B$4:$AB$4,0)+1,0),0)*M34,0)*AG34*0.5,0)),"")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2419</v>
      </c>
      <c r="AO34" s="1361" t="s">
        <v>2419</v>
      </c>
      <c r="AP34" s="1399"/>
      <c r="AQ34" s="1399" t="s">
        <v>2169</v>
      </c>
      <c r="AR34" s="1485">
        <v>1</v>
      </c>
      <c r="AS34" s="1487"/>
      <c r="AT34" s="548" t="str">
        <f t="shared" si="0"/>
        <v/>
      </c>
      <c r="AU34" s="641"/>
      <c r="AV34" s="1489" t="str">
        <f>IF(K34&lt;&gt;"","V列に色付け","")</f>
        <v>V列に色付け</v>
      </c>
      <c r="AW34" s="642" t="str">
        <f>IF('別紙様式2-2（４・５月分）'!O29="","",'別紙様式2-2（４・５月分）'!O29)</f>
        <v>処遇加算Ⅱ</v>
      </c>
      <c r="AX34" s="1519">
        <f>SUM('別紙様式2-2（４・５月分）'!P29:P31)</f>
        <v>0.06</v>
      </c>
      <c r="AY34" s="1502" t="str">
        <f>IFERROR(VLOOKUP(K34,【参考】数式用!$AJ$2:$AK$24,2,FALSE),"")</f>
        <v>介護老人福祉施設</v>
      </c>
      <c r="AZ34" s="1318" t="s">
        <v>2087</v>
      </c>
      <c r="BA34" s="1318" t="s">
        <v>2088</v>
      </c>
      <c r="BB34" s="1318" t="s">
        <v>2089</v>
      </c>
      <c r="BC34" s="1318" t="s">
        <v>2090</v>
      </c>
      <c r="BD34" s="1318" t="str">
        <f>IF(AND(P34&lt;&gt;"新加算Ⅰ",P34&lt;&gt;"新加算Ⅱ",P34&lt;&gt;"新加算Ⅲ",P34&lt;&gt;"新加算Ⅳ"),P34,IF(Q36&lt;&gt;"",Q36,""))</f>
        <v>新加算Ⅴ（３）</v>
      </c>
      <c r="BE34" s="1318"/>
      <c r="BF34" s="1318" t="str">
        <f t="shared" ref="BF34" si="17">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35" t="str">
        <f>G34</f>
        <v>千葉県</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1"/>
      <c r="AV35" s="1489"/>
      <c r="AW35" s="1514" t="str">
        <f>IF('別紙様式2-2（４・５月分）'!O30="","",'別紙様式2-2（４・５月分）'!O30)</f>
        <v>特定加算なし</v>
      </c>
      <c r="AX35" s="1517"/>
      <c r="AY35" s="1502"/>
      <c r="AZ35" s="1318"/>
      <c r="BA35" s="1318"/>
      <c r="BB35" s="1318"/>
      <c r="BC35" s="1318"/>
      <c r="BD35" s="1318"/>
      <c r="BE35" s="1318"/>
      <c r="BF35" s="1318"/>
      <c r="BG35" s="1318"/>
      <c r="BH35" s="1318"/>
      <c r="BI35" s="1318"/>
      <c r="BJ35" s="1508"/>
      <c r="BK35" s="1489"/>
      <c r="BL35" s="535"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xml:space="preserve">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IFERROR(IF(AND(OR(N34="",N35="",N37=""),U34=""),0,ROUNDDOWN(ROUNDDOWN(ROUND(L34*VLOOKUP(K34,【参考】数式用!$A$5:$AB$27,MATCH("新加算Ⅳ",【参考】数式用!$B$4:$AB$4,0)+1,0),0)*M34,0)*AG36*0.5,0)),"")</f>
        <v>11159532</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1"/>
      <c r="AV36" s="1489" t="str">
        <f>IF(K34&lt;&gt;"","V列に色付け","")</f>
        <v>V列に色付け</v>
      </c>
      <c r="AW36" s="1514"/>
      <c r="AX36" s="1517"/>
      <c r="AY36"/>
      <c r="AZ36"/>
      <c r="BA36"/>
      <c r="BB36"/>
      <c r="BC36"/>
      <c r="BD36"/>
      <c r="BE36"/>
      <c r="BF36"/>
      <c r="BG36"/>
      <c r="BH36"/>
      <c r="BI36"/>
      <c r="BJ36"/>
      <c r="BK36"/>
      <c r="BL36" s="535" t="str">
        <f>G34</f>
        <v>千葉県</v>
      </c>
    </row>
    <row r="37" spans="1:64" ht="30" customHeight="1" thickBot="1">
      <c r="A37" s="1224"/>
      <c r="B37" s="1373"/>
      <c r="C37" s="1394"/>
      <c r="D37" s="1374"/>
      <c r="E37" s="1374"/>
      <c r="F37" s="1375"/>
      <c r="G37" s="1264"/>
      <c r="H37" s="1264"/>
      <c r="I37" s="1264"/>
      <c r="J37" s="1370"/>
      <c r="K37" s="1264"/>
      <c r="L37" s="1245"/>
      <c r="M37" s="1372"/>
      <c r="N37" s="640" t="str">
        <f>IF('別紙様式2-2（４・５月分）'!Q31="","",'別紙様式2-2（４・５月分）'!Q31)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9"/>
      <c r="AW37" s="642" t="str">
        <f>IF('別紙様式2-2（４・５月分）'!O31="","",'別紙様式2-2（４・５月分）'!O31)</f>
        <v>ベア加算なし</v>
      </c>
      <c r="AX37" s="1518"/>
      <c r="AY37"/>
      <c r="AZ37"/>
      <c r="BA37"/>
      <c r="BB37"/>
      <c r="BC37"/>
      <c r="BD37"/>
      <c r="BE37"/>
      <c r="BF37"/>
      <c r="BG37"/>
      <c r="BH37"/>
      <c r="BI37"/>
      <c r="BJ37"/>
      <c r="BK37"/>
      <c r="BL37" s="535" t="str">
        <f>G34</f>
        <v>千葉県</v>
      </c>
    </row>
    <row r="38" spans="1:64"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2162</v>
      </c>
      <c r="U38" s="1411" t="s">
        <v>2088</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2053360</v>
      </c>
      <c r="AK38" s="1481">
        <f>IFERROR(IF(AND(OR(N38="",N39="",N41=""),U38=""),0,ROUNDDOWN(ROUNDDOWN(ROUND(L38*VLOOKUP(K38,【参考】数式用!$A$5:$AB$27,MATCH("新加算Ⅳ",【参考】数式用!$B$4:$AB$4,0)+1,0),0)*M38,0)*AG38*0.5,0)),"")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2419</v>
      </c>
      <c r="AO38" s="1361" t="s">
        <v>2169</v>
      </c>
      <c r="AP38" s="1399"/>
      <c r="AQ38" s="1399" t="s">
        <v>2169</v>
      </c>
      <c r="AR38" s="1485"/>
      <c r="AS38" s="1487"/>
      <c r="AT38" s="548" t="str">
        <f t="shared" si="0"/>
        <v/>
      </c>
      <c r="AU38" s="641"/>
      <c r="AV38" s="1489" t="str">
        <f>IF(K38&lt;&gt;"","V列に色付け","")</f>
        <v>V列に色付け</v>
      </c>
      <c r="AW38" s="642" t="str">
        <f>IF('別紙様式2-2（４・５月分）'!O32="","",'別紙様式2-2（４・５月分）'!O32)</f>
        <v>処遇加算Ⅲ</v>
      </c>
      <c r="AX38" s="1503">
        <f>SUM('別紙様式2-2（４・５月分）'!P32:P34)</f>
        <v>5.6000000000000001E-2</v>
      </c>
      <c r="AY38" s="1502" t="str">
        <f>IFERROR(VLOOKUP(K38,【参考】数式用!$AJ$2:$AK$24,2,FALSE),"")</f>
        <v>介護予防_短期入所生活介護</v>
      </c>
      <c r="AZ38" s="1318" t="s">
        <v>2087</v>
      </c>
      <c r="BA38" s="1318" t="s">
        <v>2088</v>
      </c>
      <c r="BB38" s="1318" t="s">
        <v>2089</v>
      </c>
      <c r="BC38" s="1318" t="s">
        <v>2090</v>
      </c>
      <c r="BD38" s="1318" t="str">
        <f>IF(AND(P38&lt;&gt;"新加算Ⅰ",P38&lt;&gt;"新加算Ⅱ",P38&lt;&gt;"新加算Ⅲ",P38&lt;&gt;"新加算Ⅳ"),P38,IF(Q40&lt;&gt;"",Q40,""))</f>
        <v>新加算Ⅴ（12）</v>
      </c>
      <c r="BE38" s="1318"/>
      <c r="BF38" s="1318" t="str">
        <f t="shared" ref="BF38" si="22">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5" t="str">
        <f>G38</f>
        <v>千葉県</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1"/>
      <c r="AV39" s="1489"/>
      <c r="AW39" s="1514" t="str">
        <f>IF('別紙様式2-2（４・５月分）'!O33="","",'別紙様式2-2（４・５月分）'!O33)</f>
        <v>特定加算Ⅱ</v>
      </c>
      <c r="AX39" s="1503"/>
      <c r="AY39" s="1502"/>
      <c r="AZ39" s="1318"/>
      <c r="BA39" s="1318"/>
      <c r="BB39" s="1318"/>
      <c r="BC39" s="1318"/>
      <c r="BD39" s="1318"/>
      <c r="BE39" s="1318"/>
      <c r="BF39" s="1318"/>
      <c r="BG39" s="1318"/>
      <c r="BH39" s="1318"/>
      <c r="BI39" s="1318"/>
      <c r="BJ39" s="1508"/>
      <c r="BK39" s="1489"/>
      <c r="BL39" s="535"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xml:space="preserve">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IFERROR(IF(AND(OR(N38="",N39="",N41=""),U38=""),0,ROUNDDOWN(ROUNDDOWN(ROUND(L38*VLOOKUP(K38,【参考】数式用!$A$5:$AB$27,MATCH("新加算Ⅳ",【参考】数式用!$B$4:$AB$4,0)+1,0),0)*M38,0)*AG40*0.5,0)),"")</f>
        <v>1386018</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1"/>
      <c r="AV40" s="1489" t="str">
        <f>IF(K38&lt;&gt;"","V列に色付け","")</f>
        <v>V列に色付け</v>
      </c>
      <c r="AW40" s="1514"/>
      <c r="AX40" s="1503"/>
      <c r="AY40"/>
      <c r="AZ40"/>
      <c r="BA40"/>
      <c r="BB40"/>
      <c r="BC40"/>
      <c r="BD40"/>
      <c r="BE40"/>
      <c r="BF40"/>
      <c r="BG40"/>
      <c r="BH40"/>
      <c r="BI40"/>
      <c r="BJ40"/>
      <c r="BK40"/>
      <c r="BL40" s="535" t="str">
        <f>G38</f>
        <v>千葉県</v>
      </c>
    </row>
    <row r="41" spans="1:64" ht="30" customHeight="1" thickBot="1">
      <c r="A41" s="1224"/>
      <c r="B41" s="1373"/>
      <c r="C41" s="1374"/>
      <c r="D41" s="1374"/>
      <c r="E41" s="1374"/>
      <c r="F41" s="1375"/>
      <c r="G41" s="1264"/>
      <c r="H41" s="1264"/>
      <c r="I41" s="1264"/>
      <c r="J41" s="1370"/>
      <c r="K41" s="1264"/>
      <c r="L41" s="1245"/>
      <c r="M41" s="1248"/>
      <c r="N41" s="640" t="str">
        <f>IF('別紙様式2-2（４・５月分）'!Q34="","",'別紙様式2-2（４・５月分）'!Q34)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9"/>
      <c r="AW41" s="642" t="str">
        <f>IF('別紙様式2-2（４・５月分）'!O34="","",'別紙様式2-2（４・５月分）'!O34)</f>
        <v>ベア加算なし</v>
      </c>
      <c r="AX41" s="1503"/>
      <c r="AY41"/>
      <c r="AZ41"/>
      <c r="BA41"/>
      <c r="BB41"/>
      <c r="BC41"/>
      <c r="BD41"/>
      <c r="BE41"/>
      <c r="BF41"/>
      <c r="BG41"/>
      <c r="BH41"/>
      <c r="BI41"/>
      <c r="BJ41"/>
      <c r="BK41"/>
      <c r="BL41" s="535" t="str">
        <f>G38</f>
        <v>千葉県</v>
      </c>
    </row>
    <row r="42" spans="1:64"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244">
        <f>IF(基本情報入力シート!AB61="","",基本情報入力シート!AB61)</f>
        <v>1800000</v>
      </c>
      <c r="M42" s="1371">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2162</v>
      </c>
      <c r="U42" s="1411" t="s">
        <v>2452</v>
      </c>
      <c r="V42" s="1453">
        <f>IFERROR(VLOOKUP(K42,【参考】数式用!$A$5:$AB$27,MATCH(U42,【参考】数式用!$B$4:$AB$4,0)+1,0),"")</f>
        <v>6.3E-2</v>
      </c>
      <c r="W42" s="1347" t="s">
        <v>19</v>
      </c>
      <c r="X42" s="1349">
        <v>6</v>
      </c>
      <c r="Y42" s="1351" t="s">
        <v>10</v>
      </c>
      <c r="Z42" s="1349">
        <v>6</v>
      </c>
      <c r="AA42" s="1351" t="s">
        <v>45</v>
      </c>
      <c r="AB42" s="1349">
        <v>7</v>
      </c>
      <c r="AC42" s="1351" t="s">
        <v>10</v>
      </c>
      <c r="AD42" s="1349">
        <v>1</v>
      </c>
      <c r="AE42" s="1351" t="s">
        <v>13</v>
      </c>
      <c r="AF42" s="1351" t="s">
        <v>24</v>
      </c>
      <c r="AG42" s="1351">
        <f>IF(X42&gt;=1,(AB42*12+AD42)-(X42*12+Z42)+1,"")</f>
        <v>8</v>
      </c>
      <c r="AH42" s="1357" t="s">
        <v>38</v>
      </c>
      <c r="AI42" s="1477">
        <f>IFERROR(ROUNDDOWN(ROUND(L42*V42,0)*M42,0)*AG42,"")</f>
        <v>9888480</v>
      </c>
      <c r="AJ42" s="1479">
        <f>IFERROR(ROUNDDOWN(ROUND((L42*(V42-AX42)),0)*M42,0)*AG42,"")</f>
        <v>9888480</v>
      </c>
      <c r="AK42" s="1481">
        <f>IFERROR(IF(AND(OR(N42="",N43="",N45=""),U42=""),0,ROUNDDOWN(ROUNDDOWN(ROUND(L42*VLOOKUP(K42,【参考】数式用!$A$5:$AB$27,MATCH("新加算Ⅳ",【参考】数式用!$B$4:$AB$4,0)+1,0),0)*M42,0)*AG42*0.5,0)),"")</f>
        <v>7063200</v>
      </c>
      <c r="AL42" s="1429"/>
      <c r="AM42" s="1483">
        <f>IFERROR(IF(OR(N45="ベア加算",N45=""),0, IF(OR(U42="新加算Ⅰ",U42="新加算Ⅱ",U42="新加算Ⅲ",U42="新加算Ⅳ"),ROUNDDOWN(ROUND(L42*VLOOKUP(K42,【参考】数式用!$A$5:$I$27,MATCH("ベア加算",【参考】数式用!$B$4:$I$4,0)+1,0),0)*M42,0)*AG42,0)),"")</f>
        <v>0</v>
      </c>
      <c r="AN42" s="1498"/>
      <c r="AO42" s="1361"/>
      <c r="AP42" s="1399" t="s">
        <v>2419</v>
      </c>
      <c r="AQ42" s="1399"/>
      <c r="AR42" s="1485"/>
      <c r="AS42" s="1487"/>
      <c r="AT42" s="548" t="str">
        <f t="shared" si="0"/>
        <v/>
      </c>
      <c r="AU42" s="641"/>
      <c r="AV42" s="1489" t="str">
        <f>IF(K42&lt;&gt;"","V列に色付け","")</f>
        <v>V列に色付け</v>
      </c>
      <c r="AW42" s="642" t="str">
        <f>IF('別紙様式2-2（４・５月分）'!O35="","",'別紙様式2-2（４・５月分）'!O35)</f>
        <v>処遇加算なし</v>
      </c>
      <c r="AX42" s="1503">
        <f>SUM('別紙様式2-2（４・５月分）'!P35:P37)</f>
        <v>0</v>
      </c>
      <c r="AY42" s="1502" t="str">
        <f>IFERROR(VLOOKUP(K42,【参考】数式用!$AJ$2:$AK$24,2,FALSE),"")</f>
        <v>介護老人福祉施設</v>
      </c>
      <c r="AZ42" s="1318" t="s">
        <v>2087</v>
      </c>
      <c r="BA42" s="1318" t="s">
        <v>2088</v>
      </c>
      <c r="BB42" s="1318" t="s">
        <v>2089</v>
      </c>
      <c r="BC42" s="1318" t="s">
        <v>2090</v>
      </c>
      <c r="BD42" s="1318" t="str">
        <f>IF(AND(P42&lt;&gt;"新加算Ⅰ",P42&lt;&gt;"新加算Ⅱ",P42&lt;&gt;"新加算Ⅲ",P42&lt;&gt;"新加算Ⅳ"),P42,IF(Q44&lt;&gt;"",Q44,""))</f>
        <v>新加算Ⅴ（13）</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入力済</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5" t="str">
        <f>G42</f>
        <v>東京都</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特定加算なし</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！算定期間の終わりが令和７年３月になっていません。区分変更を行う場合は、別紙様式2-4に記入してください。</v>
      </c>
      <c r="AU43" s="641"/>
      <c r="AV43" s="1489"/>
      <c r="AW43" s="1514" t="str">
        <f>IF('別紙様式2-2（４・５月分）'!O36="","",'別紙様式2-2（４・５月分）'!O36)</f>
        <v>特定加算なし</v>
      </c>
      <c r="AX43" s="1503"/>
      <c r="AY43" s="1502"/>
      <c r="AZ43" s="1318"/>
      <c r="BA43" s="1318"/>
      <c r="BB43" s="1318"/>
      <c r="BC43" s="1318"/>
      <c r="BD43" s="1318"/>
      <c r="BE43" s="1318"/>
      <c r="BF43" s="1318"/>
      <c r="BG43" s="1318"/>
      <c r="BH43" s="1318"/>
      <c r="BI43" s="1318"/>
      <c r="BJ43" s="1508"/>
      <c r="BK43" s="1489"/>
      <c r="BL43" s="535" t="str">
        <f>G42</f>
        <v>東京都</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新加算Ⅴ（13）</v>
      </c>
      <c r="R44" s="1385" t="s">
        <v>2179</v>
      </c>
      <c r="S44" s="1391">
        <f>IFERROR(VLOOKUP(K42,【参考】数式用!$A$5:$AB$27,MATCH(Q44,【参考】数式用!$B$4:$AB$4,0)+1,0),"")</f>
        <v>6.3E-2</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IFERROR(IF(AND(OR(N42="",N43="",N45=""),U42=""),0,ROUNDDOWN(ROUNDDOWN(ROUND(L42*VLOOKUP(K42,【参考】数式用!$A$5:$AB$27,MATCH("新加算Ⅳ",【参考】数式用!$B$4:$AB$4,0)+1,0),0)*M42,0)*AG44*0.5,0)),"")</f>
        <v>10594800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1"/>
      <c r="AV44" s="1489" t="str">
        <f>IF(K42&lt;&gt;"","V列に色付け","")</f>
        <v>V列に色付け</v>
      </c>
      <c r="AW44" s="1514"/>
      <c r="AX44" s="1503"/>
      <c r="AY44"/>
      <c r="AZ44"/>
      <c r="BA44"/>
      <c r="BB44"/>
      <c r="BC44"/>
      <c r="BD44"/>
      <c r="BE44"/>
      <c r="BF44"/>
      <c r="BG44"/>
      <c r="BH44"/>
      <c r="BI44"/>
      <c r="BJ44"/>
      <c r="BK44"/>
      <c r="BL44" s="535" t="str">
        <f>G42</f>
        <v>東京都</v>
      </c>
    </row>
    <row r="45" spans="1:64" ht="30" customHeight="1" thickBot="1">
      <c r="A45" s="1224"/>
      <c r="B45" s="1373"/>
      <c r="C45" s="1374"/>
      <c r="D45" s="1374"/>
      <c r="E45" s="1374"/>
      <c r="F45" s="1375"/>
      <c r="G45" s="1264"/>
      <c r="H45" s="1264"/>
      <c r="I45" s="1264"/>
      <c r="J45" s="1370"/>
      <c r="K45" s="1264"/>
      <c r="L45" s="1245"/>
      <c r="M45" s="1372"/>
      <c r="N45" s="640" t="str">
        <f>IF('別紙様式2-2（４・５月分）'!Q37="","",'別紙様式2-2（４・５月分）'!Q37)</f>
        <v>ベア加算</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9"/>
      <c r="AW45" s="642" t="str">
        <f>IF('別紙様式2-2（４・５月分）'!O37="","",'別紙様式2-2（４・５月分）'!O37)</f>
        <v>ベア加算なし</v>
      </c>
      <c r="AX45" s="1503"/>
      <c r="AY45"/>
      <c r="AZ45"/>
      <c r="BA45"/>
      <c r="BB45"/>
      <c r="BC45"/>
      <c r="BD45"/>
      <c r="BE45"/>
      <c r="BF45"/>
      <c r="BG45"/>
      <c r="BH45"/>
      <c r="BI45"/>
      <c r="BJ45"/>
      <c r="BK45"/>
      <c r="BL45" s="535" t="str">
        <f>G42</f>
        <v>東京都</v>
      </c>
    </row>
    <row r="46" spans="1:64"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243">
        <f>IF(基本情報入力シート!AB62="","",基本情報入力シート!AB62)</f>
        <v>1935000</v>
      </c>
      <c r="M46" s="1246">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2162</v>
      </c>
      <c r="U46" s="1411" t="s">
        <v>2089</v>
      </c>
      <c r="V46" s="1453">
        <f>IFERROR(VLOOKUP(K46,【参考】数式用!$A$5:$AB$27,MATCH(U46,【参考】数式用!$B$4:$AB$4,0)+1,0),"")</f>
        <v>7.9999999999999988E-2</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f>IFERROR(ROUNDDOWN(ROUND(L46*V46,0)*M46,0)*AG46,"")</f>
        <v>16532640</v>
      </c>
      <c r="AJ46" s="1479">
        <f>IFERROR(ROUNDDOWN(ROUND((L46*(V46-AX46)),0)*M46,0)*AG46,"")</f>
        <v>16532640</v>
      </c>
      <c r="AK46" s="1481">
        <f>IFERROR(IF(AND(OR(N46="",N47="",N49=""),U46=""),0,ROUNDDOWN(ROUNDDOWN(ROUND(L46*VLOOKUP(K46,【参考】数式用!$A$5:$AB$27,MATCH("新加算Ⅳ",【参考】数式用!$B$4:$AB$4,0)+1,0),0)*M46,0)*AG46*0.5,0)),"")</f>
        <v>6613055</v>
      </c>
      <c r="AL46" s="1429"/>
      <c r="AM46" s="1483">
        <f>IFERROR(IF(OR(N49="ベア加算",N49=""),0, IF(OR(U46="新加算Ⅰ",U46="新加算Ⅱ",U46="新加算Ⅲ",U46="新加算Ⅳ"),ROUNDDOWN(ROUND(L46*VLOOKUP(K46,【参考】数式用!$A$5:$I$27,MATCH("ベア加算",【参考】数式用!$B$4:$I$4,0)+1,0),0)*M46,0)*AG46,0)),"")</f>
        <v>0</v>
      </c>
      <c r="AN46" s="1498"/>
      <c r="AO46" s="1361" t="s">
        <v>2419</v>
      </c>
      <c r="AP46" s="1399"/>
      <c r="AQ46" s="1399" t="s">
        <v>2169</v>
      </c>
      <c r="AR46" s="1485"/>
      <c r="AS46" s="1487"/>
      <c r="AT46" s="548" t="str">
        <f t="shared" si="0"/>
        <v/>
      </c>
      <c r="AU46" s="641"/>
      <c r="AV46" s="1489" t="str">
        <f>IF(K46&lt;&gt;"","V列に色付け","")</f>
        <v>V列に色付け</v>
      </c>
      <c r="AW46" s="642" t="str">
        <f>IF('別紙様式2-2（４・５月分）'!O38="","",'別紙様式2-2（４・５月分）'!O38)</f>
        <v>処遇加算なし</v>
      </c>
      <c r="AX46" s="1503">
        <f>SUM('別紙様式2-2（４・５月分）'!P38:P40)</f>
        <v>0</v>
      </c>
      <c r="AY46" s="1502" t="str">
        <f>IFERROR(VLOOKUP(K46,【参考】数式用!$AJ$2:$AK$24,2,FALSE),"")</f>
        <v>地域密着型通所介護</v>
      </c>
      <c r="AZ46" s="1318" t="s">
        <v>2087</v>
      </c>
      <c r="BA46" s="1318" t="s">
        <v>2088</v>
      </c>
      <c r="BB46" s="1318" t="s">
        <v>2089</v>
      </c>
      <c r="BC46" s="1318" t="s">
        <v>2090</v>
      </c>
      <c r="BD46" s="1318" t="str">
        <f>IF(AND(P46&lt;&gt;"新加算Ⅰ",P46&lt;&gt;"新加算Ⅱ",P46&lt;&gt;"新加算Ⅲ",P46&lt;&gt;"新加算Ⅳ"),P46,IF(Q48&lt;&gt;"",Q48,""))</f>
        <v>新加算Ⅴ（13）</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入力済</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5" t="str">
        <f>G46</f>
        <v>千葉県</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特定加算なし</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1"/>
      <c r="AV47" s="1489"/>
      <c r="AW47" s="1514" t="str">
        <f>IF('別紙様式2-2（４・５月分）'!O39="","",'別紙様式2-2（４・５月分）'!O39)</f>
        <v>特定加算なし</v>
      </c>
      <c r="AX47" s="1503"/>
      <c r="AY47" s="1502"/>
      <c r="AZ47" s="1318"/>
      <c r="BA47" s="1318"/>
      <c r="BB47" s="1318"/>
      <c r="BC47" s="1318"/>
      <c r="BD47" s="1318"/>
      <c r="BE47" s="1318"/>
      <c r="BF47" s="1318"/>
      <c r="BG47" s="1318"/>
      <c r="BH47" s="1318"/>
      <c r="BI47" s="1318"/>
      <c r="BJ47" s="1508"/>
      <c r="BK47" s="1489"/>
      <c r="BL47" s="535" t="str">
        <f>G46</f>
        <v>千葉県</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新加算Ⅴ（13）</v>
      </c>
      <c r="R48" s="1385" t="s">
        <v>2179</v>
      </c>
      <c r="S48" s="1393">
        <f>IFERROR(VLOOKUP(K46,【参考】数式用!$A$5:$AB$27,MATCH(Q48,【参考】数式用!$B$4:$AB$4,0)+1,0),"")</f>
        <v>4.4000000000000004E-2</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IFERROR(IF(AND(OR(N46="",N47="",N49=""),U46=""),0,ROUNDDOWN(ROUNDDOWN(ROUND(L46*VLOOKUP(K46,【参考】数式用!$A$5:$AB$27,MATCH("新加算Ⅳ",【参考】数式用!$B$4:$AB$4,0)+1,0),0)*M46,0)*AG48*0.5,0)),"")</f>
        <v>7935666</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1"/>
      <c r="AV48" s="1489" t="str">
        <f>IF(K46&lt;&gt;"","V列に色付け","")</f>
        <v>V列に色付け</v>
      </c>
      <c r="AW48" s="1514"/>
      <c r="AX48" s="1503"/>
      <c r="AY48"/>
      <c r="AZ48"/>
      <c r="BA48"/>
      <c r="BB48"/>
      <c r="BC48"/>
      <c r="BD48"/>
      <c r="BE48"/>
      <c r="BF48"/>
      <c r="BG48"/>
      <c r="BH48"/>
      <c r="BI48"/>
      <c r="BJ48"/>
      <c r="BK48"/>
      <c r="BL48" s="535" t="str">
        <f>G46</f>
        <v>千葉県</v>
      </c>
    </row>
    <row r="49" spans="1:64" ht="30" customHeight="1" thickBot="1">
      <c r="A49" s="1224"/>
      <c r="B49" s="1373"/>
      <c r="C49" s="1374"/>
      <c r="D49" s="1374"/>
      <c r="E49" s="1374"/>
      <c r="F49" s="1375"/>
      <c r="G49" s="1264"/>
      <c r="H49" s="1264"/>
      <c r="I49" s="1264"/>
      <c r="J49" s="1370"/>
      <c r="K49" s="1264"/>
      <c r="L49" s="1245"/>
      <c r="M49" s="1248"/>
      <c r="N49" s="640" t="str">
        <f>IF('別紙様式2-2（４・５月分）'!Q40="","",'別紙様式2-2（４・５月分）'!Q40)</f>
        <v>ベア加算</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9"/>
      <c r="AW49" s="642" t="str">
        <f>IF('別紙様式2-2（４・５月分）'!O40="","",'別紙様式2-2（４・５月分）'!O40)</f>
        <v>ベア加算なし</v>
      </c>
      <c r="AX49" s="1503"/>
      <c r="AY49"/>
      <c r="AZ49"/>
      <c r="BA49"/>
      <c r="BB49"/>
      <c r="BC49"/>
      <c r="BD49"/>
      <c r="BE49"/>
      <c r="BF49"/>
      <c r="BG49"/>
      <c r="BH49"/>
      <c r="BI49"/>
      <c r="BJ49"/>
      <c r="BK49"/>
      <c r="BL49" s="535" t="str">
        <f>G46</f>
        <v>千葉県</v>
      </c>
    </row>
    <row r="50" spans="1:64"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243">
        <f>IF(基本情報入力シート!AB63="","",基本情報入力シート!AB63)</f>
        <v>1935000</v>
      </c>
      <c r="M50" s="1395">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2162</v>
      </c>
      <c r="U50" s="1411" t="s">
        <v>2437</v>
      </c>
      <c r="V50" s="1453">
        <f>IFERROR(VLOOKUP(K50,【参考】数式用!$A$5:$AB$27,MATCH(U50,【参考】数式用!$B$4:$AB$4,0)+1,0),"")</f>
        <v>3.3000000000000002E-2</v>
      </c>
      <c r="W50" s="1347" t="s">
        <v>19</v>
      </c>
      <c r="X50" s="1349">
        <v>6</v>
      </c>
      <c r="Y50" s="1351" t="s">
        <v>10</v>
      </c>
      <c r="Z50" s="1349">
        <v>6</v>
      </c>
      <c r="AA50" s="1351" t="s">
        <v>45</v>
      </c>
      <c r="AB50" s="1349">
        <v>6</v>
      </c>
      <c r="AC50" s="1351" t="s">
        <v>10</v>
      </c>
      <c r="AD50" s="1349">
        <v>12</v>
      </c>
      <c r="AE50" s="1351" t="s">
        <v>13</v>
      </c>
      <c r="AF50" s="1351" t="s">
        <v>24</v>
      </c>
      <c r="AG50" s="1351">
        <f>IF(X50&gt;=1,(AB50*12+AD50)-(X50*12+Z50)+1,"")</f>
        <v>7</v>
      </c>
      <c r="AH50" s="1357" t="s">
        <v>38</v>
      </c>
      <c r="AI50" s="1477">
        <f>IFERROR(ROUNDDOWN(ROUND(L50*V50,0)*M50,0)*AG50,"")</f>
        <v>4872133</v>
      </c>
      <c r="AJ50" s="1479">
        <f>IFERROR(ROUNDDOWN(ROUND((L50*(V50-AX50)),0)*M50,0)*AG50,"")</f>
        <v>4872133</v>
      </c>
      <c r="AK50" s="1481">
        <f>IFERROR(IF(AND(OR(N50="",N51="",N53=""),U50=""),0,ROUNDDOWN(ROUNDDOWN(ROUND(L50*VLOOKUP(K50,【参考】数式用!$A$5:$AB$27,MATCH("新加算Ⅳ",【参考】数式用!$B$4:$AB$4,0)+1,0),0)*M50,0)*AG50*0.5,0)),"")</f>
        <v>4724496</v>
      </c>
      <c r="AL50" s="1429"/>
      <c r="AM50" s="1483">
        <f>IFERROR(IF(OR(N53="ベア加算",N53=""),0, IF(OR(U50="新加算Ⅰ",U50="新加算Ⅱ",U50="新加算Ⅲ",U50="新加算Ⅳ"),ROUNDDOWN(ROUND(L50*VLOOKUP(K50,【参考】数式用!$A$5:$I$27,MATCH("ベア加算",【参考】数式用!$B$4:$I$4,0)+1,0),0)*M50,0)*AG50,0)),"")</f>
        <v>0</v>
      </c>
      <c r="AN50" s="1498"/>
      <c r="AO50" s="1361"/>
      <c r="AP50" s="1399" t="s">
        <v>2419</v>
      </c>
      <c r="AQ50" s="1399"/>
      <c r="AR50" s="1485"/>
      <c r="AS50" s="1487"/>
      <c r="AT50" s="548" t="str">
        <f t="shared" si="0"/>
        <v/>
      </c>
      <c r="AU50" s="641"/>
      <c r="AV50" s="1489" t="str">
        <f>IF(K50&lt;&gt;"","V列に色付け","")</f>
        <v>V列に色付け</v>
      </c>
      <c r="AW50" s="642" t="str">
        <f>IF('別紙様式2-2（４・５月分）'!O41="","",'別紙様式2-2（４・５月分）'!O41)</f>
        <v>処遇加算なし</v>
      </c>
      <c r="AX50" s="1503">
        <f>SUM('別紙様式2-2（４・５月分）'!P41:P43)</f>
        <v>0</v>
      </c>
      <c r="AY50" s="1502" t="str">
        <f>IFERROR(VLOOKUP(K50,【参考】数式用!$AJ$2:$AK$24,2,FALSE),"")</f>
        <v>通所介護</v>
      </c>
      <c r="AZ50" s="1318" t="s">
        <v>2087</v>
      </c>
      <c r="BA50" s="1318" t="s">
        <v>2088</v>
      </c>
      <c r="BB50" s="1318" t="s">
        <v>2089</v>
      </c>
      <c r="BC50" s="1318" t="s">
        <v>2090</v>
      </c>
      <c r="BD50" s="1318" t="str">
        <f>IF(AND(P50&lt;&gt;"新加算Ⅰ",P50&lt;&gt;"新加算Ⅱ",P50&lt;&gt;"新加算Ⅲ",P50&lt;&gt;"新加算Ⅳ"),P50,IF(Q52&lt;&gt;"",Q52,""))</f>
        <v>新加算Ⅴ（14）</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入力済</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5" t="str">
        <f>G50</f>
        <v>東京都</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特定加算なし</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！算定期間の終わりが令和７年３月になっていません。区分変更を行う場合は、別紙様式2-4に記入してください。</v>
      </c>
      <c r="AU51" s="641"/>
      <c r="AV51" s="1489"/>
      <c r="AW51" s="1514" t="str">
        <f>IF('別紙様式2-2（４・５月分）'!O42="","",'別紙様式2-2（４・５月分）'!O42)</f>
        <v>特定加算なし</v>
      </c>
      <c r="AX51" s="1503"/>
      <c r="AY51" s="1502"/>
      <c r="AZ51" s="1318"/>
      <c r="BA51" s="1318"/>
      <c r="BB51" s="1318"/>
      <c r="BC51" s="1318"/>
      <c r="BD51" s="1318"/>
      <c r="BE51" s="1318"/>
      <c r="BF51" s="1318"/>
      <c r="BG51" s="1318"/>
      <c r="BH51" s="1318"/>
      <c r="BI51" s="1318"/>
      <c r="BJ51" s="1508"/>
      <c r="BK51" s="1489"/>
      <c r="BL51" s="535" t="str">
        <f>G50</f>
        <v>東京都</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IFERROR(VLOOKUP('別紙様式2-2（４・５月分）'!AR41,【参考】数式用!$AT$5:$AV$22,3,FALSE),"")</f>
        <v xml:space="preserve">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IFERROR(IF(AND(OR(N50="",N51="",N53=""),U50=""),0,ROUNDDOWN(ROUNDDOWN(ROUND(L50*VLOOKUP(K50,【参考】数式用!$A$5:$AB$27,MATCH("新加算Ⅳ",【参考】数式用!$B$4:$AB$4,0)+1,0),0)*M50,0)*AG52*0.5,0)),"")</f>
        <v>8099136</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2784072</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1"/>
      <c r="AV52" s="1489" t="str">
        <f>IF(K50&lt;&gt;"","V列に色付け","")</f>
        <v>V列に色付け</v>
      </c>
      <c r="AW52" s="1514"/>
      <c r="AX52" s="1503"/>
      <c r="AY52"/>
      <c r="AZ52"/>
      <c r="BA52"/>
      <c r="BB52"/>
      <c r="BC52"/>
      <c r="BD52"/>
      <c r="BE52"/>
      <c r="BF52"/>
      <c r="BG52"/>
      <c r="BH52"/>
      <c r="BI52"/>
      <c r="BJ52"/>
      <c r="BK52"/>
      <c r="BL52" s="535" t="str">
        <f>G50</f>
        <v>東京都</v>
      </c>
    </row>
    <row r="53" spans="1:64" ht="30" customHeight="1" thickBot="1">
      <c r="A53" s="1224"/>
      <c r="B53" s="1373"/>
      <c r="C53" s="1374"/>
      <c r="D53" s="1374"/>
      <c r="E53" s="1374"/>
      <c r="F53" s="1375"/>
      <c r="G53" s="1264"/>
      <c r="H53" s="1264"/>
      <c r="I53" s="1264"/>
      <c r="J53" s="1370"/>
      <c r="K53" s="1264"/>
      <c r="L53" s="1245"/>
      <c r="M53" s="1372"/>
      <c r="N53" s="640" t="str">
        <f>IF('別紙様式2-2（４・５月分）'!Q43="","",'別紙様式2-2（４・５月分）'!Q43)</f>
        <v>ベア加算なし</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9"/>
      <c r="AW53" s="642" t="str">
        <f>IF('別紙様式2-2（４・５月分）'!O43="","",'別紙様式2-2（４・５月分）'!O43)</f>
        <v>ベア加算なし</v>
      </c>
      <c r="AX53" s="1503"/>
      <c r="AY53"/>
      <c r="AZ53"/>
      <c r="BA53"/>
      <c r="BB53"/>
      <c r="BC53"/>
      <c r="BD53"/>
      <c r="BE53"/>
      <c r="BF53"/>
      <c r="BG53"/>
      <c r="BH53"/>
      <c r="BI53"/>
      <c r="BJ53"/>
      <c r="BK53"/>
      <c r="BL53" s="535" t="str">
        <f>G50</f>
        <v>東京都</v>
      </c>
    </row>
    <row r="54" spans="1:64"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243">
        <f>IF(基本情報入力シート!AB64="","",基本情報入力シート!AB64)</f>
        <v>1920000</v>
      </c>
      <c r="M54" s="1246">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2162</v>
      </c>
      <c r="U54" s="1411" t="s">
        <v>2088</v>
      </c>
      <c r="V54" s="1453">
        <f>IFERROR(VLOOKUP(K54,【参考】数式用!$A$5:$AB$27,MATCH(U54,【参考】数式用!$B$4:$AB$4,0)+1,0),"")</f>
        <v>0.14600000000000002</v>
      </c>
      <c r="W54" s="1347" t="s">
        <v>19</v>
      </c>
      <c r="X54" s="1349">
        <v>6</v>
      </c>
      <c r="Y54" s="1351" t="s">
        <v>10</v>
      </c>
      <c r="Z54" s="1349">
        <v>6</v>
      </c>
      <c r="AA54" s="1351" t="s">
        <v>45</v>
      </c>
      <c r="AB54" s="1349">
        <v>6</v>
      </c>
      <c r="AC54" s="1351" t="s">
        <v>10</v>
      </c>
      <c r="AD54" s="1349">
        <v>11</v>
      </c>
      <c r="AE54" s="1351" t="s">
        <v>13</v>
      </c>
      <c r="AF54" s="1351" t="s">
        <v>24</v>
      </c>
      <c r="AG54" s="1351">
        <f>IF(X54&gt;=1,(AB54*12+AD54)-(X54*12+Z54)+1,"")</f>
        <v>6</v>
      </c>
      <c r="AH54" s="1357" t="s">
        <v>38</v>
      </c>
      <c r="AI54" s="1477">
        <f>IFERROR(ROUNDDOWN(ROUND(L54*V54,0)*M54,0)*AG54,"")</f>
        <v>18215190</v>
      </c>
      <c r="AJ54" s="1479">
        <f>IFERROR(ROUNDDOWN(ROUND((L54*(V54-AX54)),0)*M54,0)*AG54,"")</f>
        <v>18215190</v>
      </c>
      <c r="AK54" s="1481">
        <f>IFERROR(IF(AND(OR(N54="",N55="",N57=""),U54=""),0,ROUNDDOWN(ROUNDDOWN(ROUND(L54*VLOOKUP(K54,【参考】数式用!$A$5:$AB$27,MATCH("新加算Ⅳ",【参考】数式用!$B$4:$AB$4,0)+1,0),0)*M54,0)*AG54*0.5,0)),"")</f>
        <v>6612363</v>
      </c>
      <c r="AL54" s="1429"/>
      <c r="AM54" s="1483">
        <f>IFERROR(IF(OR(N57="ベア加算",N57=""),0, IF(OR(U54="新加算Ⅰ",U54="新加算Ⅱ",U54="新加算Ⅲ",U54="新加算Ⅳ"),ROUNDDOWN(ROUND(L54*VLOOKUP(K54,【参考】数式用!$A$5:$I$27,MATCH("ベア加算",【参考】数式用!$B$4:$I$4,0)+1,0),0)*M54,0)*AG54,0)),"")</f>
        <v>2120946</v>
      </c>
      <c r="AN54" s="1498" t="s">
        <v>2419</v>
      </c>
      <c r="AO54" s="1361" t="s">
        <v>2419</v>
      </c>
      <c r="AP54" s="1399"/>
      <c r="AQ54" s="1399" t="s">
        <v>2169</v>
      </c>
      <c r="AR54" s="1485">
        <v>1</v>
      </c>
      <c r="AS54" s="1487"/>
      <c r="AT54" s="548" t="str">
        <f t="shared" si="0"/>
        <v/>
      </c>
      <c r="AU54" s="641"/>
      <c r="AV54" s="1489" t="str">
        <f>IF(K54&lt;&gt;"","V列に色付け","")</f>
        <v>V列に色付け</v>
      </c>
      <c r="AW54" s="642" t="str">
        <f>IF('別紙様式2-2（４・５月分）'!O44="","",'別紙様式2-2（４・５月分）'!O44)</f>
        <v>処遇加算なし</v>
      </c>
      <c r="AX54" s="1503">
        <f>SUM('別紙様式2-2（４・５月分）'!P44:P46)</f>
        <v>0</v>
      </c>
      <c r="AY54" s="1502" t="str">
        <f>IFERROR(VLOOKUP(K54,【参考】数式用!$AJ$2:$AK$24,2,FALSE),"")</f>
        <v>看護小規模多機能型居宅介護</v>
      </c>
      <c r="AZ54" s="1318" t="s">
        <v>2087</v>
      </c>
      <c r="BA54" s="1318" t="s">
        <v>2088</v>
      </c>
      <c r="BB54" s="1318" t="s">
        <v>2089</v>
      </c>
      <c r="BC54" s="1318" t="s">
        <v>2090</v>
      </c>
      <c r="BD54" s="1318" t="str">
        <f>IF(AND(P54&lt;&gt;"新加算Ⅰ",P54&lt;&gt;"新加算Ⅱ",P54&lt;&gt;"新加算Ⅲ",P54&lt;&gt;"新加算Ⅳ"),P54,IF(Q56&lt;&gt;"",Q56,""))</f>
        <v>新加算Ⅴ（12）</v>
      </c>
      <c r="BE54" s="1318"/>
      <c r="BF54" s="1318" t="str">
        <f t="shared" ref="BF54" si="39">IF(AM54&lt;&gt;0,IF(AN54="○","入力済","未入力"),"")</f>
        <v>入力済</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入力済</v>
      </c>
      <c r="BJ54" s="1508">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489" t="str">
        <f>IF(OR(U54="新加算Ⅰ",U54="新加算Ⅴ（１）",U54="新加算Ⅴ（２）",U54="新加算Ⅴ（５）",U54="新加算Ⅴ（７）",U54="新加算Ⅴ（10）"),IF(AS54="","未入力","入力済"),"")</f>
        <v/>
      </c>
      <c r="BL54" s="535" t="str">
        <f>G54</f>
        <v>千葉県</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特定加算Ⅱ</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！算定期間の終わりが令和７年３月になっていません。区分変更を行う場合は、別紙様式2-4に記入してください。</v>
      </c>
      <c r="AU55" s="641"/>
      <c r="AV55" s="1489"/>
      <c r="AW55" s="1514" t="str">
        <f>IF('別紙様式2-2（４・５月分）'!O45="","",'別紙様式2-2（４・５月分）'!O45)</f>
        <v>特定加算なし</v>
      </c>
      <c r="AX55" s="1503"/>
      <c r="AY55" s="1502"/>
      <c r="AZ55" s="1318"/>
      <c r="BA55" s="1318"/>
      <c r="BB55" s="1318"/>
      <c r="BC55" s="1318"/>
      <c r="BD55" s="1318"/>
      <c r="BE55" s="1318"/>
      <c r="BF55" s="1318"/>
      <c r="BG55" s="1318"/>
      <c r="BH55" s="1318"/>
      <c r="BI55" s="1318"/>
      <c r="BJ55" s="1508"/>
      <c r="BK55" s="1489"/>
      <c r="BL55" s="535" t="str">
        <f>G54</f>
        <v>千葉県</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xml:space="preserve">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IFERROR(IF(AND(OR(N54="",N55="",N57=""),U54=""),0,ROUNDDOWN(ROUNDDOWN(ROUND(L54*VLOOKUP(K54,【参考】数式用!$A$5:$AB$27,MATCH("新加算Ⅳ",【参考】数式用!$B$4:$AB$4,0)+1,0),0)*M54,0)*AG56*0.5,0)),"")</f>
        <v>13224726</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1"/>
      <c r="AV56" s="1489" t="str">
        <f>IF(K54&lt;&gt;"","V列に色付け","")</f>
        <v>V列に色付け</v>
      </c>
      <c r="AW56" s="1514"/>
      <c r="AX56" s="1503"/>
      <c r="AY56"/>
      <c r="AZ56"/>
      <c r="BA56"/>
      <c r="BB56"/>
      <c r="BC56"/>
      <c r="BD56"/>
      <c r="BE56"/>
      <c r="BF56"/>
      <c r="BG56"/>
      <c r="BH56"/>
      <c r="BI56"/>
      <c r="BJ56"/>
      <c r="BK56"/>
      <c r="BL56" s="535" t="str">
        <f>G54</f>
        <v>千葉県</v>
      </c>
    </row>
    <row r="57" spans="1:64" ht="30" customHeight="1" thickBot="1">
      <c r="A57" s="1224"/>
      <c r="B57" s="1373"/>
      <c r="C57" s="1374"/>
      <c r="D57" s="1374"/>
      <c r="E57" s="1374"/>
      <c r="F57" s="1375"/>
      <c r="G57" s="1264"/>
      <c r="H57" s="1264"/>
      <c r="I57" s="1264"/>
      <c r="J57" s="1370"/>
      <c r="K57" s="1264"/>
      <c r="L57" s="1245"/>
      <c r="M57" s="1248"/>
      <c r="N57" s="640" t="str">
        <f>IF('別紙様式2-2（４・５月分）'!Q46="","",'別紙様式2-2（４・５月分）'!Q46)</f>
        <v>ベア加算なし</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9"/>
      <c r="AW57" s="642" t="str">
        <f>IF('別紙様式2-2（４・５月分）'!O46="","",'別紙様式2-2（４・５月分）'!O46)</f>
        <v>ベア加算なし</v>
      </c>
      <c r="AX57" s="1503"/>
      <c r="AY57"/>
      <c r="AZ57"/>
      <c r="BA57"/>
      <c r="BB57"/>
      <c r="BC57"/>
      <c r="BD57"/>
      <c r="BE57"/>
      <c r="BF57"/>
      <c r="BG57"/>
      <c r="BH57"/>
      <c r="BI57"/>
      <c r="BJ57"/>
      <c r="BK57"/>
      <c r="BL57" s="535" t="str">
        <f>G54</f>
        <v>千葉県</v>
      </c>
    </row>
    <row r="58" spans="1:64"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244">
        <f>IF(基本情報入力シート!AB65="","",基本情報入力シート!AB65)</f>
        <v>1800000</v>
      </c>
      <c r="M58" s="1371">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2162</v>
      </c>
      <c r="U58" s="1411" t="s">
        <v>2090</v>
      </c>
      <c r="V58" s="1453">
        <f>IFERROR(VLOOKUP(K58,【参考】数式用!$A$5:$AB$27,MATCH(U58,【参考】数式用!$B$4:$AB$4,0)+1,0),"")</f>
        <v>2.9000000000000001E-2</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f>IFERROR(ROUNDDOWN(ROUND(L58*V58,0)*M58,0)*AG58,"")</f>
        <v>5689800</v>
      </c>
      <c r="AJ58" s="1479">
        <f>IFERROR(ROUNDDOWN(ROUND((L58*(V58-AX58)),0)*M58,0)*AG58,"")</f>
        <v>5689800</v>
      </c>
      <c r="AK58" s="1481">
        <f>IFERROR(IF(AND(OR(N58="",N59="",N61=""),U58=""),0,ROUNDDOWN(ROUNDDOWN(ROUND(L58*VLOOKUP(K58,【参考】数式用!$A$5:$AB$27,MATCH("新加算Ⅳ",【参考】数式用!$B$4:$AB$4,0)+1,0),0)*M58,0)*AG58*0.5,0)),"")</f>
        <v>2844900</v>
      </c>
      <c r="AL58" s="1429"/>
      <c r="AM58" s="1483">
        <f>IFERROR(IF(OR(N61="ベア加算",N61=""),0, IF(OR(U58="新加算Ⅰ",U58="新加算Ⅱ",U58="新加算Ⅲ",U58="新加算Ⅳ"),ROUNDDOWN(ROUND(L58*VLOOKUP(K58,【参考】数式用!$A$5:$I$27,MATCH("ベア加算",【参考】数式用!$B$4:$I$4,0)+1,0),0)*M58,0)*AG58,0)),"")</f>
        <v>0</v>
      </c>
      <c r="AN58" s="1498"/>
      <c r="AO58" s="1361" t="s">
        <v>2419</v>
      </c>
      <c r="AP58" s="1399"/>
      <c r="AQ58" s="1399"/>
      <c r="AR58" s="1485"/>
      <c r="AS58" s="1487"/>
      <c r="AT58" s="548" t="str">
        <f t="shared" si="0"/>
        <v>！加算の要件上は問題ありませんが、令和６年４・５月と比較して令和６年６月に加算率が下がる計画になっています。</v>
      </c>
      <c r="AU58" s="641"/>
      <c r="AV58" s="1489" t="str">
        <f>IF(K58&lt;&gt;"","V列に色付け","")</f>
        <v>V列に色付け</v>
      </c>
      <c r="AW58" s="642" t="str">
        <f>IF('別紙様式2-2（４・５月分）'!O47="","",'別紙様式2-2（４・５月分）'!O47)</f>
        <v/>
      </c>
      <c r="AX58" s="1503">
        <f>SUM('別紙様式2-2（４・５月分）'!P47:P49)</f>
        <v>0</v>
      </c>
      <c r="AY58" s="1502" t="str">
        <f>IFERROR(VLOOKUP(K58,【参考】数式用!$AJ$2:$AK$24,2,FALSE),"")</f>
        <v>介護医療院</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5" t="str">
        <f>G58</f>
        <v>東京都</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1"/>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35" t="str">
        <f>G58</f>
        <v>東京都</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IFERROR(IF(AND(OR(N58="",N59="",N61=""),U58=""),0,ROUNDDOWN(ROUNDDOWN(ROUND(L58*VLOOKUP(K58,【参考】数式用!$A$5:$AB$27,MATCH("新加算Ⅳ",【参考】数式用!$B$4:$AB$4,0)+1,0),0)*M58,0)*AG60*0.5,0)),"")</f>
        <v>3413880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1"/>
      <c r="AV60" s="1489" t="str">
        <f>IF(K58&lt;&gt;"","V列に色付け","")</f>
        <v>V列に色付け</v>
      </c>
      <c r="AW60" s="1514"/>
      <c r="AX60" s="1503"/>
      <c r="AY60"/>
      <c r="AZ60"/>
      <c r="BA60"/>
      <c r="BB60"/>
      <c r="BC60"/>
      <c r="BD60"/>
      <c r="BE60"/>
      <c r="BF60"/>
      <c r="BG60"/>
      <c r="BH60"/>
      <c r="BI60"/>
      <c r="BJ60"/>
      <c r="BK60"/>
      <c r="BL60" s="535" t="str">
        <f>G58</f>
        <v>東京都</v>
      </c>
    </row>
    <row r="61" spans="1:64" ht="30" customHeight="1" thickBot="1">
      <c r="A61" s="1224"/>
      <c r="B61" s="1373"/>
      <c r="C61" s="1374"/>
      <c r="D61" s="1374"/>
      <c r="E61" s="1374"/>
      <c r="F61" s="1375"/>
      <c r="G61" s="1264"/>
      <c r="H61" s="1264"/>
      <c r="I61" s="1264"/>
      <c r="J61" s="1370"/>
      <c r="K61" s="1264"/>
      <c r="L61" s="1245"/>
      <c r="M61" s="1372"/>
      <c r="N61" s="640"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9"/>
      <c r="AW61" s="642" t="str">
        <f>IF('別紙様式2-2（４・５月分）'!O49="","",'別紙様式2-2（４・５月分）'!O49)</f>
        <v/>
      </c>
      <c r="AX61" s="1503"/>
      <c r="AY61"/>
      <c r="AZ61"/>
      <c r="BA61"/>
      <c r="BB61"/>
      <c r="BC61"/>
      <c r="BD61"/>
      <c r="BE61"/>
      <c r="BF61"/>
      <c r="BG61"/>
      <c r="BH61"/>
      <c r="BI61"/>
      <c r="BJ61"/>
      <c r="BK61"/>
      <c r="BL61" s="535" t="str">
        <f>G58</f>
        <v>東京都</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IFERROR(IF(AND(OR(N62="",N63="",N65=""),U62=""),0,ROUNDDOWN(ROUNDDOWN(ROUND(L62*VLOOKUP(K62,【参考】数式用!$A$5:$AB$27,MATCH("新加算Ⅳ",【参考】数式用!$B$4:$AB$4,0)+1,0),0)*M62,0)*AG62*0.5,0)),"")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48" t="str">
        <f t="shared" si="0"/>
        <v/>
      </c>
      <c r="AU62" s="641"/>
      <c r="AV62" s="1489" t="str">
        <f>IF(K62&lt;&gt;"","V列に色付け","")</f>
        <v/>
      </c>
      <c r="AW62" s="642" t="str">
        <f>IF('別紙様式2-2（４・５月分）'!O50="","",'別紙様式2-2（４・５月分）'!O50)</f>
        <v/>
      </c>
      <c r="AX62" s="1503">
        <f>SUM('別紙様式2-2（４・５月分）'!P50:P52)</f>
        <v>0</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5"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1"/>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35"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IFERROR(IF(AND(OR(N62="",N63="",N65=""),U62=""),0,ROUNDDOWN(ROUNDDOWN(ROUND(L62*VLOOKUP(K62,【参考】数式用!$A$5:$AB$27,MATCH("新加算Ⅳ",【参考】数式用!$B$4:$AB$4,0)+1,0),0)*M62,0)*AG64*0.5,0)),"")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1"/>
      <c r="AV64" s="1489" t="str">
        <f>IF(K62&lt;&gt;"","V列に色付け","")</f>
        <v/>
      </c>
      <c r="AW64" s="1514"/>
      <c r="AX64" s="1503"/>
      <c r="AY64"/>
      <c r="AZ64"/>
      <c r="BA64"/>
      <c r="BB64"/>
      <c r="BC64"/>
      <c r="BD64"/>
      <c r="BE64"/>
      <c r="BF64"/>
      <c r="BG64"/>
      <c r="BH64"/>
      <c r="BI64"/>
      <c r="BJ64"/>
      <c r="BK64"/>
      <c r="BL64" s="535" t="str">
        <f>G62</f>
        <v/>
      </c>
    </row>
    <row r="65" spans="1:64" ht="30" customHeight="1" thickBot="1">
      <c r="A65" s="1224"/>
      <c r="B65" s="1373"/>
      <c r="C65" s="1374"/>
      <c r="D65" s="1374"/>
      <c r="E65" s="1374"/>
      <c r="F65" s="1375"/>
      <c r="G65" s="1264"/>
      <c r="H65" s="1264"/>
      <c r="I65" s="1264"/>
      <c r="J65" s="1370"/>
      <c r="K65" s="1264"/>
      <c r="L65" s="1245"/>
      <c r="M65" s="1248"/>
      <c r="N65" s="640"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9"/>
      <c r="AW65" s="642" t="str">
        <f>IF('別紙様式2-2（４・５月分）'!O52="","",'別紙様式2-2（４・５月分）'!O52)</f>
        <v/>
      </c>
      <c r="AX65" s="1503"/>
      <c r="AY65"/>
      <c r="AZ65"/>
      <c r="BA65"/>
      <c r="BB65"/>
      <c r="BC65"/>
      <c r="BD65"/>
      <c r="BE65"/>
      <c r="BF65"/>
      <c r="BG65"/>
      <c r="BH65"/>
      <c r="BI65"/>
      <c r="BJ65"/>
      <c r="BK65"/>
      <c r="BL65" s="535"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IFERROR(IF(AND(OR(N66="",N67="",N69=""),U66=""),0,ROUNDDOWN(ROUNDDOWN(ROUND(L66*VLOOKUP(K66,【参考】数式用!$A$5:$AB$27,MATCH("新加算Ⅳ",【参考】数式用!$B$4:$AB$4,0)+1,0),0)*M66,0)*AG66*0.5,0)),"")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48" t="str">
        <f t="shared" si="0"/>
        <v/>
      </c>
      <c r="AU66" s="641"/>
      <c r="AV66" s="1489" t="str">
        <f>IF(K66&lt;&gt;"","V列に色付け","")</f>
        <v/>
      </c>
      <c r="AW66" s="642" t="str">
        <f>IF('別紙様式2-2（４・５月分）'!O53="","",'別紙様式2-2（４・５月分）'!O53)</f>
        <v/>
      </c>
      <c r="AX66" s="1503">
        <f>SUM('別紙様式2-2（４・５月分）'!P53:P55)</f>
        <v>0</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5"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1"/>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35"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IFERROR(IF(AND(OR(N66="",N67="",N69=""),U66=""),0,ROUNDDOWN(ROUNDDOWN(ROUND(L66*VLOOKUP(K66,【参考】数式用!$A$5:$AB$27,MATCH("新加算Ⅳ",【参考】数式用!$B$4:$AB$4,0)+1,0),0)*M66,0)*AG68*0.5,0)),"")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1"/>
      <c r="AV68" s="1489" t="str">
        <f>IF(K66&lt;&gt;"","V列に色付け","")</f>
        <v/>
      </c>
      <c r="AW68" s="1514"/>
      <c r="AX68" s="1503"/>
      <c r="AY68"/>
      <c r="AZ68"/>
      <c r="BA68"/>
      <c r="BB68"/>
      <c r="BC68"/>
      <c r="BD68"/>
      <c r="BE68"/>
      <c r="BF68"/>
      <c r="BG68"/>
      <c r="BH68"/>
      <c r="BI68"/>
      <c r="BJ68"/>
      <c r="BK68"/>
      <c r="BL68" s="535" t="str">
        <f>G66</f>
        <v/>
      </c>
    </row>
    <row r="69" spans="1:64" ht="30" customHeight="1" thickBot="1">
      <c r="A69" s="1224"/>
      <c r="B69" s="1373"/>
      <c r="C69" s="1374"/>
      <c r="D69" s="1374"/>
      <c r="E69" s="1374"/>
      <c r="F69" s="1375"/>
      <c r="G69" s="1264"/>
      <c r="H69" s="1264"/>
      <c r="I69" s="1264"/>
      <c r="J69" s="1370"/>
      <c r="K69" s="1264"/>
      <c r="L69" s="1245"/>
      <c r="M69" s="1372"/>
      <c r="N69" s="640"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9"/>
      <c r="AW69" s="642" t="str">
        <f>IF('別紙様式2-2（４・５月分）'!O55="","",'別紙様式2-2（４・５月分）'!O55)</f>
        <v/>
      </c>
      <c r="AX69" s="1503"/>
      <c r="AY69"/>
      <c r="AZ69"/>
      <c r="BA69"/>
      <c r="BB69"/>
      <c r="BC69"/>
      <c r="BD69"/>
      <c r="BE69"/>
      <c r="BF69"/>
      <c r="BG69"/>
      <c r="BH69"/>
      <c r="BI69"/>
      <c r="BJ69"/>
      <c r="BK69"/>
      <c r="BL69" s="535"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IFERROR(IF(AND(OR(N70="",N71="",N73=""),U70=""),0,ROUNDDOWN(ROUNDDOWN(ROUND(L70*VLOOKUP(K70,【参考】数式用!$A$5:$AB$27,MATCH("新加算Ⅳ",【参考】数式用!$B$4:$AB$4,0)+1,0),0)*M70,0)*AG70*0.5,0)),"")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48" t="str">
        <f t="shared" si="0"/>
        <v/>
      </c>
      <c r="AU70" s="641"/>
      <c r="AV70" s="1489" t="str">
        <f>IF(K70&lt;&gt;"","V列に色付け","")</f>
        <v/>
      </c>
      <c r="AW70" s="642" t="str">
        <f>IF('別紙様式2-2（４・５月分）'!O56="","",'別紙様式2-2（４・５月分）'!O56)</f>
        <v/>
      </c>
      <c r="AX70" s="1503">
        <f>SUM('別紙様式2-2（４・５月分）'!P56:P58)</f>
        <v>0</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5"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1"/>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35"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IFERROR(IF(AND(OR(N70="",N71="",N73=""),U70=""),0,ROUNDDOWN(ROUNDDOWN(ROUND(L70*VLOOKUP(K70,【参考】数式用!$A$5:$AB$27,MATCH("新加算Ⅳ",【参考】数式用!$B$4:$AB$4,0)+1,0),0)*M70,0)*AG72*0.5,0)),"")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1"/>
      <c r="AV72" s="1489" t="str">
        <f>IF(K70&lt;&gt;"","V列に色付け","")</f>
        <v/>
      </c>
      <c r="AW72" s="1514"/>
      <c r="AX72" s="1503"/>
      <c r="AY72"/>
      <c r="AZ72"/>
      <c r="BA72"/>
      <c r="BB72"/>
      <c r="BC72"/>
      <c r="BD72"/>
      <c r="BE72"/>
      <c r="BF72"/>
      <c r="BG72"/>
      <c r="BH72"/>
      <c r="BI72"/>
      <c r="BJ72"/>
      <c r="BK72"/>
      <c r="BL72" s="535" t="str">
        <f>G70</f>
        <v/>
      </c>
    </row>
    <row r="73" spans="1:64" ht="30" customHeight="1" thickBot="1">
      <c r="A73" s="1224"/>
      <c r="B73" s="1373"/>
      <c r="C73" s="1374"/>
      <c r="D73" s="1374"/>
      <c r="E73" s="1374"/>
      <c r="F73" s="1375"/>
      <c r="G73" s="1264"/>
      <c r="H73" s="1264"/>
      <c r="I73" s="1264"/>
      <c r="J73" s="1370"/>
      <c r="K73" s="1264"/>
      <c r="L73" s="1245"/>
      <c r="M73" s="1248"/>
      <c r="N73" s="640"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9"/>
      <c r="AW73" s="642" t="str">
        <f>IF('別紙様式2-2（４・５月分）'!O58="","",'別紙様式2-2（４・５月分）'!O58)</f>
        <v/>
      </c>
      <c r="AX73" s="1503"/>
      <c r="AY73"/>
      <c r="AZ73"/>
      <c r="BA73"/>
      <c r="BB73"/>
      <c r="BC73"/>
      <c r="BD73"/>
      <c r="BE73"/>
      <c r="BF73"/>
      <c r="BG73"/>
      <c r="BH73"/>
      <c r="BI73"/>
      <c r="BJ73"/>
      <c r="BK73"/>
      <c r="BL73" s="535"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IFERROR(IF(AND(OR(N74="",N75="",N77=""),U74=""),0,ROUNDDOWN(ROUNDDOWN(ROUND(L74*VLOOKUP(K74,【参考】数式用!$A$5:$AB$27,MATCH("新加算Ⅳ",【参考】数式用!$B$4:$AB$4,0)+1,0),0)*M74,0)*AG74*0.5,0)),"")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48" t="str">
        <f t="shared" si="0"/>
        <v/>
      </c>
      <c r="AU74" s="641"/>
      <c r="AV74" s="1489" t="str">
        <f>IF(K74&lt;&gt;"","V列に色付け","")</f>
        <v/>
      </c>
      <c r="AW74" s="642" t="str">
        <f>IF('別紙様式2-2（４・５月分）'!O59="","",'別紙様式2-2（４・５月分）'!O59)</f>
        <v/>
      </c>
      <c r="AX74" s="1503">
        <f>SUM('別紙様式2-2（４・５月分）'!P59:P61)</f>
        <v>0</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5"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1"/>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35"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IFERROR(IF(AND(OR(N74="",N75="",N77=""),U74=""),0,ROUNDDOWN(ROUNDDOWN(ROUND(L74*VLOOKUP(K74,【参考】数式用!$A$5:$AB$27,MATCH("新加算Ⅳ",【参考】数式用!$B$4:$AB$4,0)+1,0),0)*M74,0)*AG76*0.5,0)),"")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1"/>
      <c r="AV76" s="1489" t="str">
        <f>IF(K74&lt;&gt;"","V列に色付け","")</f>
        <v/>
      </c>
      <c r="AW76" s="1514"/>
      <c r="AX76" s="1503"/>
      <c r="AY76"/>
      <c r="AZ76"/>
      <c r="BA76"/>
      <c r="BB76"/>
      <c r="BC76"/>
      <c r="BD76"/>
      <c r="BE76"/>
      <c r="BF76"/>
      <c r="BG76"/>
      <c r="BH76"/>
      <c r="BI76"/>
      <c r="BJ76"/>
      <c r="BK76"/>
      <c r="BL76" s="535" t="str">
        <f>G74</f>
        <v/>
      </c>
    </row>
    <row r="77" spans="1:64" ht="30" customHeight="1" thickBot="1">
      <c r="A77" s="1224"/>
      <c r="B77" s="1373"/>
      <c r="C77" s="1374"/>
      <c r="D77" s="1374"/>
      <c r="E77" s="1374"/>
      <c r="F77" s="1375"/>
      <c r="G77" s="1264"/>
      <c r="H77" s="1264"/>
      <c r="I77" s="1264"/>
      <c r="J77" s="1370"/>
      <c r="K77" s="1264"/>
      <c r="L77" s="1245"/>
      <c r="M77" s="1372"/>
      <c r="N77" s="640"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9"/>
      <c r="AW77" s="642" t="str">
        <f>IF('別紙様式2-2（４・５月分）'!O61="","",'別紙様式2-2（４・５月分）'!O61)</f>
        <v/>
      </c>
      <c r="AX77" s="1503"/>
      <c r="AY77"/>
      <c r="AZ77"/>
      <c r="BA77"/>
      <c r="BB77"/>
      <c r="BC77"/>
      <c r="BD77"/>
      <c r="BE77"/>
      <c r="BF77"/>
      <c r="BG77"/>
      <c r="BH77"/>
      <c r="BI77"/>
      <c r="BJ77"/>
      <c r="BK77"/>
      <c r="BL77" s="535"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IFERROR(IF(AND(OR(N78="",N79="",N81=""),U78=""),0,ROUNDDOWN(ROUNDDOWN(ROUND(L78*VLOOKUP(K78,【参考】数式用!$A$5:$AB$27,MATCH("新加算Ⅳ",【参考】数式用!$B$4:$AB$4,0)+1,0),0)*M78,0)*AG78*0.5,0)),"")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48" t="str">
        <f t="shared" si="0"/>
        <v/>
      </c>
      <c r="AU78" s="641"/>
      <c r="AV78" s="1489" t="str">
        <f>IF(K78&lt;&gt;"","V列に色付け","")</f>
        <v/>
      </c>
      <c r="AW78" s="642" t="str">
        <f>IF('別紙様式2-2（４・５月分）'!O62="","",'別紙様式2-2（４・５月分）'!O62)</f>
        <v/>
      </c>
      <c r="AX78" s="1503">
        <f>SUM('別紙様式2-2（４・５月分）'!P62:P64)</f>
        <v>0</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5"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1"/>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35"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IFERROR(IF(AND(OR(N78="",N79="",N81=""),U78=""),0,ROUNDDOWN(ROUNDDOWN(ROUND(L78*VLOOKUP(K78,【参考】数式用!$A$5:$AB$27,MATCH("新加算Ⅳ",【参考】数式用!$B$4:$AB$4,0)+1,0),0)*M78,0)*AG80*0.5,0)),"")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1"/>
      <c r="AV80" s="1489" t="str">
        <f>IF(K78&lt;&gt;"","V列に色付け","")</f>
        <v/>
      </c>
      <c r="AW80" s="1514"/>
      <c r="AX80" s="1503"/>
      <c r="AY80"/>
      <c r="AZ80"/>
      <c r="BA80"/>
      <c r="BB80"/>
      <c r="BC80"/>
      <c r="BD80"/>
      <c r="BE80"/>
      <c r="BF80"/>
      <c r="BG80"/>
      <c r="BH80"/>
      <c r="BI80"/>
      <c r="BJ80"/>
      <c r="BK80"/>
      <c r="BL80" s="535" t="str">
        <f>G78</f>
        <v/>
      </c>
    </row>
    <row r="81" spans="1:64" ht="30" customHeight="1" thickBot="1">
      <c r="A81" s="1224"/>
      <c r="B81" s="1373"/>
      <c r="C81" s="1374"/>
      <c r="D81" s="1374"/>
      <c r="E81" s="1374"/>
      <c r="F81" s="1375"/>
      <c r="G81" s="1264"/>
      <c r="H81" s="1264"/>
      <c r="I81" s="1264"/>
      <c r="J81" s="1370"/>
      <c r="K81" s="1264"/>
      <c r="L81" s="1245"/>
      <c r="M81" s="1248"/>
      <c r="N81" s="640"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9"/>
      <c r="AW81" s="642" t="str">
        <f>IF('別紙様式2-2（４・５月分）'!O64="","",'別紙様式2-2（４・５月分）'!O64)</f>
        <v/>
      </c>
      <c r="AX81" s="1503"/>
      <c r="AY81"/>
      <c r="AZ81"/>
      <c r="BA81"/>
      <c r="BB81"/>
      <c r="BC81"/>
      <c r="BD81"/>
      <c r="BE81"/>
      <c r="BF81"/>
      <c r="BG81"/>
      <c r="BH81"/>
      <c r="BI81"/>
      <c r="BJ81"/>
      <c r="BK81"/>
      <c r="BL81" s="535"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IFERROR(IF(AND(OR(N82="",N83="",N85=""),U82=""),0,ROUNDDOWN(ROUNDDOWN(ROUND(L82*VLOOKUP(K82,【参考】数式用!$A$5:$AB$27,MATCH("新加算Ⅳ",【参考】数式用!$B$4:$AB$4,0)+1,0),0)*M82,0)*AG82*0.5,0)),"")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48" t="str">
        <f t="shared" ref="AT82:AT142" si="67">IF(AV82="","",IF(V82&lt;O82,"！加算の要件上は問題ありませんが、令和６年４・５月と比較して令和６年６月に加算率が下がる計画になっています。",""))</f>
        <v/>
      </c>
      <c r="AU82" s="641"/>
      <c r="AV82" s="1489" t="str">
        <f>IF(K82&lt;&gt;"","V列に色付け","")</f>
        <v/>
      </c>
      <c r="AW82" s="642" t="str">
        <f>IF('別紙様式2-2（４・５月分）'!O65="","",'別紙様式2-2（４・５月分）'!O65)</f>
        <v/>
      </c>
      <c r="AX82" s="1503">
        <f>SUM('別紙様式2-2（４・５月分）'!P65:P67)</f>
        <v>0</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5"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35"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IFERROR(IF(AND(OR(N82="",N83="",N85=""),U82=""),0,ROUNDDOWN(ROUNDDOWN(ROUND(L82*VLOOKUP(K82,【参考】数式用!$A$5:$AB$27,MATCH("新加算Ⅳ",【参考】数式用!$B$4:$AB$4,0)+1,0),0)*M82,0)*AG84*0.5,0)),"")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1"/>
      <c r="AV84" s="1489" t="str">
        <f>IF(K82&lt;&gt;"","V列に色付け","")</f>
        <v/>
      </c>
      <c r="AW84" s="1514"/>
      <c r="AX84" s="1503"/>
      <c r="AY84"/>
      <c r="AZ84"/>
      <c r="BA84"/>
      <c r="BB84"/>
      <c r="BC84"/>
      <c r="BD84"/>
      <c r="BE84"/>
      <c r="BF84"/>
      <c r="BG84"/>
      <c r="BH84"/>
      <c r="BI84"/>
      <c r="BJ84"/>
      <c r="BK84"/>
      <c r="BL84" s="535" t="str">
        <f>G82</f>
        <v/>
      </c>
    </row>
    <row r="85" spans="1:64" ht="30" customHeight="1" thickBot="1">
      <c r="A85" s="1224"/>
      <c r="B85" s="1373"/>
      <c r="C85" s="1374"/>
      <c r="D85" s="1374"/>
      <c r="E85" s="1374"/>
      <c r="F85" s="1375"/>
      <c r="G85" s="1264"/>
      <c r="H85" s="1264"/>
      <c r="I85" s="1264"/>
      <c r="J85" s="1370"/>
      <c r="K85" s="1264"/>
      <c r="L85" s="1245"/>
      <c r="M85" s="1372"/>
      <c r="N85" s="640"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9"/>
      <c r="AW85" s="642" t="str">
        <f>IF('別紙様式2-2（４・５月分）'!O67="","",'別紙様式2-2（４・５月分）'!O67)</f>
        <v/>
      </c>
      <c r="AX85" s="1503"/>
      <c r="AY85"/>
      <c r="AZ85"/>
      <c r="BA85"/>
      <c r="BB85"/>
      <c r="BC85"/>
      <c r="BD85"/>
      <c r="BE85"/>
      <c r="BF85"/>
      <c r="BG85"/>
      <c r="BH85"/>
      <c r="BI85"/>
      <c r="BJ85"/>
      <c r="BK85"/>
      <c r="BL85" s="535"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IFERROR(IF(AND(OR(N86="",N87="",N89=""),U86=""),0,ROUNDDOWN(ROUNDDOWN(ROUND(L86*VLOOKUP(K86,【参考】数式用!$A$5:$AB$27,MATCH("新加算Ⅳ",【参考】数式用!$B$4:$AB$4,0)+1,0),0)*M86,0)*AG86*0.5,0)),"")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48" t="str">
        <f t="shared" si="67"/>
        <v/>
      </c>
      <c r="AU86" s="641"/>
      <c r="AV86" s="1489" t="str">
        <f>IF(K86&lt;&gt;"","V列に色付け","")</f>
        <v/>
      </c>
      <c r="AW86" s="642" t="str">
        <f>IF('別紙様式2-2（４・５月分）'!O68="","",'別紙様式2-2（４・５月分）'!O68)</f>
        <v/>
      </c>
      <c r="AX86" s="1503">
        <f>SUM('別紙様式2-2（４・５月分）'!P68:P70)</f>
        <v>0</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5"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1"/>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35"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IFERROR(IF(AND(OR(N86="",N87="",N89=""),U86=""),0,ROUNDDOWN(ROUNDDOWN(ROUND(L86*VLOOKUP(K86,【参考】数式用!$A$5:$AB$27,MATCH("新加算Ⅳ",【参考】数式用!$B$4:$AB$4,0)+1,0),0)*M86,0)*AG88*0.5,0)),"")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1"/>
      <c r="AV88" s="1489" t="str">
        <f>IF(K86&lt;&gt;"","V列に色付け","")</f>
        <v/>
      </c>
      <c r="AW88" s="1514"/>
      <c r="AX88" s="1503"/>
      <c r="AY88"/>
      <c r="AZ88"/>
      <c r="BA88"/>
      <c r="BB88"/>
      <c r="BC88"/>
      <c r="BD88"/>
      <c r="BE88"/>
      <c r="BF88"/>
      <c r="BG88"/>
      <c r="BH88"/>
      <c r="BI88"/>
      <c r="BJ88"/>
      <c r="BK88"/>
      <c r="BL88" s="535" t="str">
        <f>G86</f>
        <v/>
      </c>
    </row>
    <row r="89" spans="1:64" ht="30" customHeight="1" thickBot="1">
      <c r="A89" s="1224"/>
      <c r="B89" s="1373"/>
      <c r="C89" s="1374"/>
      <c r="D89" s="1374"/>
      <c r="E89" s="1374"/>
      <c r="F89" s="1375"/>
      <c r="G89" s="1264"/>
      <c r="H89" s="1264"/>
      <c r="I89" s="1264"/>
      <c r="J89" s="1370"/>
      <c r="K89" s="1264"/>
      <c r="L89" s="1245"/>
      <c r="M89" s="1248"/>
      <c r="N89" s="640"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9"/>
      <c r="AW89" s="642" t="str">
        <f>IF('別紙様式2-2（４・５月分）'!O70="","",'別紙様式2-2（４・５月分）'!O70)</f>
        <v/>
      </c>
      <c r="AX89" s="1503"/>
      <c r="AY89"/>
      <c r="AZ89"/>
      <c r="BA89"/>
      <c r="BB89"/>
      <c r="BC89"/>
      <c r="BD89"/>
      <c r="BE89"/>
      <c r="BF89"/>
      <c r="BG89"/>
      <c r="BH89"/>
      <c r="BI89"/>
      <c r="BJ89"/>
      <c r="BK89"/>
      <c r="BL89" s="535"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IFERROR(IF(AND(OR(N90="",N91="",N93=""),U90=""),0,ROUNDDOWN(ROUNDDOWN(ROUND(L90*VLOOKUP(K90,【参考】数式用!$A$5:$AB$27,MATCH("新加算Ⅳ",【参考】数式用!$B$4:$AB$4,0)+1,0),0)*M90,0)*AG90*0.5,0)),"")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48" t="str">
        <f t="shared" si="67"/>
        <v/>
      </c>
      <c r="AU90" s="641"/>
      <c r="AV90" s="1489" t="str">
        <f>IF(K90&lt;&gt;"","V列に色付け","")</f>
        <v/>
      </c>
      <c r="AW90" s="642" t="str">
        <f>IF('別紙様式2-2（４・５月分）'!O71="","",'別紙様式2-2（４・５月分）'!O71)</f>
        <v/>
      </c>
      <c r="AX90" s="1503">
        <f>SUM('別紙様式2-2（４・５月分）'!P71:P73)</f>
        <v>0</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5"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1"/>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35"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IFERROR(IF(AND(OR(N90="",N91="",N93=""),U90=""),0,ROUNDDOWN(ROUNDDOWN(ROUND(L90*VLOOKUP(K90,【参考】数式用!$A$5:$AB$27,MATCH("新加算Ⅳ",【参考】数式用!$B$4:$AB$4,0)+1,0),0)*M90,0)*AG92*0.5,0)),"")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1"/>
      <c r="AV92" s="1489" t="str">
        <f>IF(K90&lt;&gt;"","V列に色付け","")</f>
        <v/>
      </c>
      <c r="AW92" s="1514"/>
      <c r="AX92" s="1503"/>
      <c r="AY92"/>
      <c r="AZ92"/>
      <c r="BA92"/>
      <c r="BB92"/>
      <c r="BC92"/>
      <c r="BD92"/>
      <c r="BE92"/>
      <c r="BF92"/>
      <c r="BG92"/>
      <c r="BH92"/>
      <c r="BI92"/>
      <c r="BJ92"/>
      <c r="BK92"/>
      <c r="BL92" s="535" t="str">
        <f>G90</f>
        <v/>
      </c>
    </row>
    <row r="93" spans="1:64" ht="30" customHeight="1" thickBot="1">
      <c r="A93" s="1224"/>
      <c r="B93" s="1373"/>
      <c r="C93" s="1374"/>
      <c r="D93" s="1374"/>
      <c r="E93" s="1374"/>
      <c r="F93" s="1375"/>
      <c r="G93" s="1264"/>
      <c r="H93" s="1264"/>
      <c r="I93" s="1264"/>
      <c r="J93" s="1370"/>
      <c r="K93" s="1264"/>
      <c r="L93" s="1245"/>
      <c r="M93" s="1372"/>
      <c r="N93" s="640"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9"/>
      <c r="AW93" s="642" t="str">
        <f>IF('別紙様式2-2（４・５月分）'!O73="","",'別紙様式2-2（４・５月分）'!O73)</f>
        <v/>
      </c>
      <c r="AX93" s="1503"/>
      <c r="AY93"/>
      <c r="AZ93"/>
      <c r="BA93"/>
      <c r="BB93"/>
      <c r="BC93"/>
      <c r="BD93"/>
      <c r="BE93"/>
      <c r="BF93"/>
      <c r="BG93"/>
      <c r="BH93"/>
      <c r="BI93"/>
      <c r="BJ93"/>
      <c r="BK93"/>
      <c r="BL93" s="535"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IFERROR(IF(AND(OR(N94="",N95="",N97=""),U94=""),0,ROUNDDOWN(ROUNDDOWN(ROUND(L94*VLOOKUP(K94,【参考】数式用!$A$5:$AB$27,MATCH("新加算Ⅳ",【参考】数式用!$B$4:$AB$4,0)+1,0),0)*M94,0)*AG94*0.5,0)),"")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48" t="str">
        <f t="shared" si="67"/>
        <v/>
      </c>
      <c r="AU94" s="641"/>
      <c r="AV94" s="1489" t="str">
        <f>IF(K94&lt;&gt;"","V列に色付け","")</f>
        <v/>
      </c>
      <c r="AW94" s="642" t="str">
        <f>IF('別紙様式2-2（４・５月分）'!O74="","",'別紙様式2-2（４・５月分）'!O74)</f>
        <v/>
      </c>
      <c r="AX94" s="1503">
        <f>SUM('別紙様式2-2（４・５月分）'!P74:P76)</f>
        <v>0</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5"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1"/>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35"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IFERROR(IF(AND(OR(N94="",N95="",N97=""),U94=""),0,ROUNDDOWN(ROUNDDOWN(ROUND(L94*VLOOKUP(K94,【参考】数式用!$A$5:$AB$27,MATCH("新加算Ⅳ",【参考】数式用!$B$4:$AB$4,0)+1,0),0)*M94,0)*AG96*0.5,0)),"")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1"/>
      <c r="AV96" s="1489" t="str">
        <f>IF(K94&lt;&gt;"","V列に色付け","")</f>
        <v/>
      </c>
      <c r="AW96" s="1514"/>
      <c r="AX96" s="1503"/>
      <c r="AY96"/>
      <c r="AZ96"/>
      <c r="BA96"/>
      <c r="BB96"/>
      <c r="BC96"/>
      <c r="BD96"/>
      <c r="BE96"/>
      <c r="BF96"/>
      <c r="BG96"/>
      <c r="BH96"/>
      <c r="BI96"/>
      <c r="BJ96"/>
      <c r="BK96"/>
      <c r="BL96" s="535" t="str">
        <f>G94</f>
        <v/>
      </c>
    </row>
    <row r="97" spans="1:64" ht="30" customHeight="1" thickBot="1">
      <c r="A97" s="1224"/>
      <c r="B97" s="1373"/>
      <c r="C97" s="1374"/>
      <c r="D97" s="1374"/>
      <c r="E97" s="1374"/>
      <c r="F97" s="1375"/>
      <c r="G97" s="1264"/>
      <c r="H97" s="1264"/>
      <c r="I97" s="1264"/>
      <c r="J97" s="1370"/>
      <c r="K97" s="1264"/>
      <c r="L97" s="1245"/>
      <c r="M97" s="1248"/>
      <c r="N97" s="640"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9"/>
      <c r="AW97" s="642" t="str">
        <f>IF('別紙様式2-2（４・５月分）'!O76="","",'別紙様式2-2（４・５月分）'!O76)</f>
        <v/>
      </c>
      <c r="AX97" s="1503"/>
      <c r="AY97"/>
      <c r="AZ97"/>
      <c r="BA97"/>
      <c r="BB97"/>
      <c r="BC97"/>
      <c r="BD97"/>
      <c r="BE97"/>
      <c r="BF97"/>
      <c r="BG97"/>
      <c r="BH97"/>
      <c r="BI97"/>
      <c r="BJ97"/>
      <c r="BK97"/>
      <c r="BL97" s="535"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IFERROR(IF(AND(OR(N98="",N99="",N101=""),U98=""),0,ROUNDDOWN(ROUNDDOWN(ROUND(L98*VLOOKUP(K98,【参考】数式用!$A$5:$AB$27,MATCH("新加算Ⅳ",【参考】数式用!$B$4:$AB$4,0)+1,0),0)*M98,0)*AG98*0.5,0)),"")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48" t="str">
        <f t="shared" si="67"/>
        <v/>
      </c>
      <c r="AU98" s="641"/>
      <c r="AV98" s="1489" t="str">
        <f>IF(K98&lt;&gt;"","V列に色付け","")</f>
        <v/>
      </c>
      <c r="AW98" s="642" t="str">
        <f>IF('別紙様式2-2（４・５月分）'!O77="","",'別紙様式2-2（４・５月分）'!O77)</f>
        <v/>
      </c>
      <c r="AX98" s="1503">
        <f>SUM('別紙様式2-2（４・５月分）'!P77:P79)</f>
        <v>0</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5"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1"/>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35"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IFERROR(IF(AND(OR(N98="",N99="",N101=""),U98=""),0,ROUNDDOWN(ROUNDDOWN(ROUND(L98*VLOOKUP(K98,【参考】数式用!$A$5:$AB$27,MATCH("新加算Ⅳ",【参考】数式用!$B$4:$AB$4,0)+1,0),0)*M98,0)*AG100*0.5,0)),"")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1"/>
      <c r="AV100" s="1489" t="str">
        <f>IF(K98&lt;&gt;"","V列に色付け","")</f>
        <v/>
      </c>
      <c r="AW100" s="1514"/>
      <c r="AX100" s="1503"/>
      <c r="AY100"/>
      <c r="AZ100"/>
      <c r="BA100"/>
      <c r="BB100"/>
      <c r="BC100"/>
      <c r="BD100"/>
      <c r="BE100"/>
      <c r="BF100"/>
      <c r="BG100"/>
      <c r="BH100"/>
      <c r="BI100"/>
      <c r="BJ100"/>
      <c r="BK100"/>
      <c r="BL100" s="535" t="str">
        <f>G98</f>
        <v/>
      </c>
    </row>
    <row r="101" spans="1:64" ht="30" customHeight="1" thickBot="1">
      <c r="A101" s="1224"/>
      <c r="B101" s="1373"/>
      <c r="C101" s="1374"/>
      <c r="D101" s="1374"/>
      <c r="E101" s="1374"/>
      <c r="F101" s="1375"/>
      <c r="G101" s="1264"/>
      <c r="H101" s="1264"/>
      <c r="I101" s="1264"/>
      <c r="J101" s="1370"/>
      <c r="K101" s="1264"/>
      <c r="L101" s="1245"/>
      <c r="M101" s="1372"/>
      <c r="N101" s="640"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9"/>
      <c r="AW101" s="642" t="str">
        <f>IF('別紙様式2-2（４・５月分）'!O79="","",'別紙様式2-2（４・５月分）'!O79)</f>
        <v/>
      </c>
      <c r="AX101" s="1503"/>
      <c r="AY101"/>
      <c r="AZ101"/>
      <c r="BA101"/>
      <c r="BB101"/>
      <c r="BC101"/>
      <c r="BD101"/>
      <c r="BE101"/>
      <c r="BF101"/>
      <c r="BG101"/>
      <c r="BH101"/>
      <c r="BI101"/>
      <c r="BJ101"/>
      <c r="BK101"/>
      <c r="BL101" s="535"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IFERROR(IF(AND(OR(N102="",N103="",N105=""),U102=""),0,ROUNDDOWN(ROUNDDOWN(ROUND(L102*VLOOKUP(K102,【参考】数式用!$A$5:$AB$27,MATCH("新加算Ⅳ",【参考】数式用!$B$4:$AB$4,0)+1,0),0)*M102,0)*AG102*0.5,0)),"")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48" t="str">
        <f t="shared" si="67"/>
        <v/>
      </c>
      <c r="AU102" s="641"/>
      <c r="AV102" s="1489" t="str">
        <f>IF(K102&lt;&gt;"","V列に色付け","")</f>
        <v/>
      </c>
      <c r="AW102" s="642" t="str">
        <f>IF('別紙様式2-2（４・５月分）'!O80="","",'別紙様式2-2（４・５月分）'!O80)</f>
        <v/>
      </c>
      <c r="AX102" s="1503">
        <f>SUM('別紙様式2-2（４・５月分）'!P80:P82)</f>
        <v>0</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5"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1"/>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35"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IFERROR(IF(AND(OR(N102="",N103="",N105=""),U102=""),0,ROUNDDOWN(ROUNDDOWN(ROUND(L102*VLOOKUP(K102,【参考】数式用!$A$5:$AB$27,MATCH("新加算Ⅳ",【参考】数式用!$B$4:$AB$4,0)+1,0),0)*M102,0)*AG104*0.5,0)),"")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1"/>
      <c r="AV104" s="1489" t="str">
        <f>IF(K102&lt;&gt;"","V列に色付け","")</f>
        <v/>
      </c>
      <c r="AW104" s="1514"/>
      <c r="AX104" s="1503"/>
      <c r="AY104"/>
      <c r="AZ104"/>
      <c r="BA104"/>
      <c r="BB104"/>
      <c r="BC104"/>
      <c r="BD104"/>
      <c r="BE104"/>
      <c r="BF104"/>
      <c r="BG104"/>
      <c r="BH104"/>
      <c r="BI104"/>
      <c r="BJ104"/>
      <c r="BK104"/>
      <c r="BL104" s="535" t="str">
        <f>G102</f>
        <v/>
      </c>
    </row>
    <row r="105" spans="1:64" ht="30" customHeight="1" thickBot="1">
      <c r="A105" s="1224"/>
      <c r="B105" s="1373"/>
      <c r="C105" s="1374"/>
      <c r="D105" s="1374"/>
      <c r="E105" s="1374"/>
      <c r="F105" s="1375"/>
      <c r="G105" s="1264"/>
      <c r="H105" s="1264"/>
      <c r="I105" s="1264"/>
      <c r="J105" s="1370"/>
      <c r="K105" s="1264"/>
      <c r="L105" s="1245"/>
      <c r="M105" s="1372"/>
      <c r="N105" s="640"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9"/>
      <c r="AW105" s="642" t="str">
        <f>IF('別紙様式2-2（４・５月分）'!O82="","",'別紙様式2-2（４・５月分）'!O82)</f>
        <v/>
      </c>
      <c r="AX105" s="1503"/>
      <c r="AY105"/>
      <c r="AZ105"/>
      <c r="BA105"/>
      <c r="BB105"/>
      <c r="BC105"/>
      <c r="BD105"/>
      <c r="BE105"/>
      <c r="BF105"/>
      <c r="BG105"/>
      <c r="BH105"/>
      <c r="BI105"/>
      <c r="BJ105"/>
      <c r="BK105"/>
      <c r="BL105" s="535"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IFERROR(IF(AND(OR(N106="",N107="",N109=""),U106=""),0,ROUNDDOWN(ROUNDDOWN(ROUND(L106*VLOOKUP(K106,【参考】数式用!$A$5:$AB$27,MATCH("新加算Ⅳ",【参考】数式用!$B$4:$AB$4,0)+1,0),0)*M106,0)*AG106*0.5,0)),"")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48" t="str">
        <f t="shared" si="67"/>
        <v/>
      </c>
      <c r="AU106" s="641"/>
      <c r="AV106" s="1489" t="str">
        <f>IF(K106&lt;&gt;"","V列に色付け","")</f>
        <v/>
      </c>
      <c r="AW106" s="642" t="str">
        <f>IF('別紙様式2-2（４・５月分）'!O83="","",'別紙様式2-2（４・５月分）'!O83)</f>
        <v/>
      </c>
      <c r="AX106" s="1503">
        <f>SUM('別紙様式2-2（４・５月分）'!P83:P85)</f>
        <v>0</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5"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1"/>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35"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IFERROR(IF(AND(OR(N106="",N107="",N109=""),U106=""),0,ROUNDDOWN(ROUNDDOWN(ROUND(L106*VLOOKUP(K106,【参考】数式用!$A$5:$AB$27,MATCH("新加算Ⅳ",【参考】数式用!$B$4:$AB$4,0)+1,0),0)*M106,0)*AG108*0.5,0)),"")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1"/>
      <c r="AV108" s="1489" t="str">
        <f>IF(K106&lt;&gt;"","V列に色付け","")</f>
        <v/>
      </c>
      <c r="AW108" s="1514"/>
      <c r="AX108" s="1503"/>
      <c r="AY108"/>
      <c r="AZ108"/>
      <c r="BA108"/>
      <c r="BB108"/>
      <c r="BC108"/>
      <c r="BD108"/>
      <c r="BE108"/>
      <c r="BF108"/>
      <c r="BG108"/>
      <c r="BH108"/>
      <c r="BI108"/>
      <c r="BJ108"/>
      <c r="BK108"/>
      <c r="BL108" s="535" t="str">
        <f>G106</f>
        <v/>
      </c>
    </row>
    <row r="109" spans="1:64" ht="30" customHeight="1" thickBot="1">
      <c r="A109" s="1224"/>
      <c r="B109" s="1373"/>
      <c r="C109" s="1374"/>
      <c r="D109" s="1374"/>
      <c r="E109" s="1374"/>
      <c r="F109" s="1375"/>
      <c r="G109" s="1264"/>
      <c r="H109" s="1264"/>
      <c r="I109" s="1264"/>
      <c r="J109" s="1370"/>
      <c r="K109" s="1264"/>
      <c r="L109" s="1245"/>
      <c r="M109" s="1248"/>
      <c r="N109" s="640"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9"/>
      <c r="AW109" s="642" t="str">
        <f>IF('別紙様式2-2（４・５月分）'!O85="","",'別紙様式2-2（４・５月分）'!O85)</f>
        <v/>
      </c>
      <c r="AX109" s="1503"/>
      <c r="AY109"/>
      <c r="AZ109"/>
      <c r="BA109"/>
      <c r="BB109"/>
      <c r="BC109"/>
      <c r="BD109"/>
      <c r="BE109"/>
      <c r="BF109"/>
      <c r="BG109"/>
      <c r="BH109"/>
      <c r="BI109"/>
      <c r="BJ109"/>
      <c r="BK109"/>
      <c r="BL109" s="535"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IFERROR(IF(AND(OR(N110="",N111="",N113=""),U110=""),0,ROUNDDOWN(ROUNDDOWN(ROUND(L110*VLOOKUP(K110,【参考】数式用!$A$5:$AB$27,MATCH("新加算Ⅳ",【参考】数式用!$B$4:$AB$4,0)+1,0),0)*M110,0)*AG110*0.5,0)),"")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48" t="str">
        <f t="shared" si="67"/>
        <v/>
      </c>
      <c r="AU110" s="641"/>
      <c r="AV110" s="1489" t="str">
        <f>IF(K110&lt;&gt;"","V列に色付け","")</f>
        <v/>
      </c>
      <c r="AW110" s="642" t="str">
        <f>IF('別紙様式2-2（４・５月分）'!O86="","",'別紙様式2-2（４・５月分）'!O86)</f>
        <v/>
      </c>
      <c r="AX110" s="1503">
        <f>SUM('別紙様式2-2（４・５月分）'!P86:P88)</f>
        <v>0</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5"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1"/>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35"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IFERROR(IF(AND(OR(N110="",N111="",N113=""),U110=""),0,ROUNDDOWN(ROUNDDOWN(ROUND(L110*VLOOKUP(K110,【参考】数式用!$A$5:$AB$27,MATCH("新加算Ⅳ",【参考】数式用!$B$4:$AB$4,0)+1,0),0)*M110,0)*AG112*0.5,0)),"")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1"/>
      <c r="AV112" s="1489" t="str">
        <f>IF(K110&lt;&gt;"","V列に色付け","")</f>
        <v/>
      </c>
      <c r="AW112" s="1514"/>
      <c r="AX112" s="1503"/>
      <c r="AY112"/>
      <c r="AZ112"/>
      <c r="BA112"/>
      <c r="BB112"/>
      <c r="BC112"/>
      <c r="BD112"/>
      <c r="BE112"/>
      <c r="BF112"/>
      <c r="BG112"/>
      <c r="BH112"/>
      <c r="BI112"/>
      <c r="BJ112"/>
      <c r="BK112"/>
      <c r="BL112" s="535" t="str">
        <f>G110</f>
        <v/>
      </c>
    </row>
    <row r="113" spans="1:64" ht="30" customHeight="1" thickBot="1">
      <c r="A113" s="1224"/>
      <c r="B113" s="1373"/>
      <c r="C113" s="1374"/>
      <c r="D113" s="1374"/>
      <c r="E113" s="1374"/>
      <c r="F113" s="1375"/>
      <c r="G113" s="1264"/>
      <c r="H113" s="1264"/>
      <c r="I113" s="1264"/>
      <c r="J113" s="1370"/>
      <c r="K113" s="1264"/>
      <c r="L113" s="1245"/>
      <c r="M113" s="1372"/>
      <c r="N113" s="640"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9"/>
      <c r="AW113" s="642" t="str">
        <f>IF('別紙様式2-2（４・５月分）'!O88="","",'別紙様式2-2（４・５月分）'!O88)</f>
        <v/>
      </c>
      <c r="AX113" s="1503"/>
      <c r="AY113"/>
      <c r="AZ113"/>
      <c r="BA113"/>
      <c r="BB113"/>
      <c r="BC113"/>
      <c r="BD113"/>
      <c r="BE113"/>
      <c r="BF113"/>
      <c r="BG113"/>
      <c r="BH113"/>
      <c r="BI113"/>
      <c r="BJ113"/>
      <c r="BK113"/>
      <c r="BL113" s="535"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IFERROR(IF(AND(OR(N114="",N115="",N117=""),U114=""),0,ROUNDDOWN(ROUNDDOWN(ROUND(L114*VLOOKUP(K114,【参考】数式用!$A$5:$AB$27,MATCH("新加算Ⅳ",【参考】数式用!$B$4:$AB$4,0)+1,0),0)*M114,0)*AG114*0.5,0)),"")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48" t="str">
        <f t="shared" si="67"/>
        <v/>
      </c>
      <c r="AU114" s="641"/>
      <c r="AV114" s="1489" t="str">
        <f>IF(K114&lt;&gt;"","V列に色付け","")</f>
        <v/>
      </c>
      <c r="AW114" s="642" t="str">
        <f>IF('別紙様式2-2（４・５月分）'!O89="","",'別紙様式2-2（４・５月分）'!O89)</f>
        <v/>
      </c>
      <c r="AX114" s="1503">
        <f>SUM('別紙様式2-2（４・５月分）'!P89:P91)</f>
        <v>0</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5"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1"/>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35"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IFERROR(IF(AND(OR(N114="",N115="",N117=""),U114=""),0,ROUNDDOWN(ROUNDDOWN(ROUND(L114*VLOOKUP(K114,【参考】数式用!$A$5:$AB$27,MATCH("新加算Ⅳ",【参考】数式用!$B$4:$AB$4,0)+1,0),0)*M114,0)*AG116*0.5,0)),"")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1"/>
      <c r="AV116" s="1489" t="str">
        <f>IF(K114&lt;&gt;"","V列に色付け","")</f>
        <v/>
      </c>
      <c r="AW116" s="1514"/>
      <c r="AX116" s="1503"/>
      <c r="AY116"/>
      <c r="AZ116"/>
      <c r="BA116"/>
      <c r="BB116"/>
      <c r="BC116"/>
      <c r="BD116"/>
      <c r="BE116"/>
      <c r="BF116"/>
      <c r="BG116"/>
      <c r="BH116"/>
      <c r="BI116"/>
      <c r="BJ116"/>
      <c r="BK116"/>
      <c r="BL116" s="535" t="str">
        <f>G114</f>
        <v/>
      </c>
    </row>
    <row r="117" spans="1:64" ht="30" customHeight="1" thickBot="1">
      <c r="A117" s="1224"/>
      <c r="B117" s="1373"/>
      <c r="C117" s="1374"/>
      <c r="D117" s="1374"/>
      <c r="E117" s="1374"/>
      <c r="F117" s="1375"/>
      <c r="G117" s="1264"/>
      <c r="H117" s="1264"/>
      <c r="I117" s="1264"/>
      <c r="J117" s="1370"/>
      <c r="K117" s="1264"/>
      <c r="L117" s="1245"/>
      <c r="M117" s="1248"/>
      <c r="N117" s="640"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9"/>
      <c r="AW117" s="642" t="str">
        <f>IF('別紙様式2-2（４・５月分）'!O91="","",'別紙様式2-2（４・５月分）'!O91)</f>
        <v/>
      </c>
      <c r="AX117" s="1503"/>
      <c r="AY117"/>
      <c r="AZ117"/>
      <c r="BA117"/>
      <c r="BB117"/>
      <c r="BC117"/>
      <c r="BD117"/>
      <c r="BE117"/>
      <c r="BF117"/>
      <c r="BG117"/>
      <c r="BH117"/>
      <c r="BI117"/>
      <c r="BJ117"/>
      <c r="BK117"/>
      <c r="BL117" s="535"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IFERROR(IF(AND(OR(N118="",N119="",N121=""),U118=""),0,ROUNDDOWN(ROUNDDOWN(ROUND(L118*VLOOKUP(K118,【参考】数式用!$A$5:$AB$27,MATCH("新加算Ⅳ",【参考】数式用!$B$4:$AB$4,0)+1,0),0)*M118,0)*AG118*0.5,0)),"")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48" t="str">
        <f t="shared" si="67"/>
        <v/>
      </c>
      <c r="AU118" s="641"/>
      <c r="AV118" s="1489" t="str">
        <f>IF(K118&lt;&gt;"","V列に色付け","")</f>
        <v/>
      </c>
      <c r="AW118" s="642" t="str">
        <f>IF('別紙様式2-2（４・５月分）'!O92="","",'別紙様式2-2（４・５月分）'!O92)</f>
        <v/>
      </c>
      <c r="AX118" s="1503">
        <f>SUM('別紙様式2-2（４・５月分）'!P92:P94)</f>
        <v>0</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5"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1"/>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35"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IFERROR(IF(AND(OR(N118="",N119="",N121=""),U118=""),0,ROUNDDOWN(ROUNDDOWN(ROUND(L118*VLOOKUP(K118,【参考】数式用!$A$5:$AB$27,MATCH("新加算Ⅳ",【参考】数式用!$B$4:$AB$4,0)+1,0),0)*M118,0)*AG120*0.5,0)),"")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1"/>
      <c r="AV120" s="1489" t="str">
        <f>IF(K118&lt;&gt;"","V列に色付け","")</f>
        <v/>
      </c>
      <c r="AW120" s="1514"/>
      <c r="AX120" s="1503"/>
      <c r="AY120"/>
      <c r="AZ120"/>
      <c r="BA120"/>
      <c r="BB120"/>
      <c r="BC120"/>
      <c r="BD120"/>
      <c r="BE120"/>
      <c r="BF120"/>
      <c r="BG120"/>
      <c r="BH120"/>
      <c r="BI120"/>
      <c r="BJ120"/>
      <c r="BK120"/>
      <c r="BL120" s="535" t="str">
        <f>G118</f>
        <v/>
      </c>
    </row>
    <row r="121" spans="1:64" ht="30" customHeight="1" thickBot="1">
      <c r="A121" s="1224"/>
      <c r="B121" s="1373"/>
      <c r="C121" s="1374"/>
      <c r="D121" s="1374"/>
      <c r="E121" s="1374"/>
      <c r="F121" s="1375"/>
      <c r="G121" s="1264"/>
      <c r="H121" s="1264"/>
      <c r="I121" s="1264"/>
      <c r="J121" s="1370"/>
      <c r="K121" s="1264"/>
      <c r="L121" s="1245"/>
      <c r="M121" s="1372"/>
      <c r="N121" s="640"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9"/>
      <c r="AW121" s="642" t="str">
        <f>IF('別紙様式2-2（４・５月分）'!O94="","",'別紙様式2-2（４・５月分）'!O94)</f>
        <v/>
      </c>
      <c r="AX121" s="1503"/>
      <c r="AY121"/>
      <c r="AZ121"/>
      <c r="BA121"/>
      <c r="BB121"/>
      <c r="BC121"/>
      <c r="BD121"/>
      <c r="BE121"/>
      <c r="BF121"/>
      <c r="BG121"/>
      <c r="BH121"/>
      <c r="BI121"/>
      <c r="BJ121"/>
      <c r="BK121"/>
      <c r="BL121" s="535"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IFERROR(IF(AND(OR(N122="",N123="",N125=""),U122=""),0,ROUNDDOWN(ROUNDDOWN(ROUND(L122*VLOOKUP(K122,【参考】数式用!$A$5:$AB$27,MATCH("新加算Ⅳ",【参考】数式用!$B$4:$AB$4,0)+1,0),0)*M122,0)*AG122*0.5,0)),"")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48" t="str">
        <f t="shared" si="67"/>
        <v/>
      </c>
      <c r="AU122" s="641"/>
      <c r="AV122" s="1489" t="str">
        <f>IF(K122&lt;&gt;"","V列に色付け","")</f>
        <v/>
      </c>
      <c r="AW122" s="642" t="str">
        <f>IF('別紙様式2-2（４・５月分）'!O95="","",'別紙様式2-2（４・５月分）'!O95)</f>
        <v/>
      </c>
      <c r="AX122" s="1503">
        <f>SUM('別紙様式2-2（４・５月分）'!P95:P97)</f>
        <v>0</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5"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1"/>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35"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IFERROR(IF(AND(OR(N122="",N123="",N125=""),U122=""),0,ROUNDDOWN(ROUNDDOWN(ROUND(L122*VLOOKUP(K122,【参考】数式用!$A$5:$AB$27,MATCH("新加算Ⅳ",【参考】数式用!$B$4:$AB$4,0)+1,0),0)*M122,0)*AG124*0.5,0)),"")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1"/>
      <c r="AV124" s="1489" t="str">
        <f>IF(K122&lt;&gt;"","V列に色付け","")</f>
        <v/>
      </c>
      <c r="AW124" s="1514"/>
      <c r="AX124" s="1503"/>
      <c r="AY124"/>
      <c r="AZ124"/>
      <c r="BA124"/>
      <c r="BB124"/>
      <c r="BC124"/>
      <c r="BD124"/>
      <c r="BE124"/>
      <c r="BF124"/>
      <c r="BG124"/>
      <c r="BH124"/>
      <c r="BI124"/>
      <c r="BJ124"/>
      <c r="BK124"/>
      <c r="BL124" s="535" t="str">
        <f>G122</f>
        <v/>
      </c>
    </row>
    <row r="125" spans="1:64" ht="30" customHeight="1" thickBot="1">
      <c r="A125" s="1224"/>
      <c r="B125" s="1373"/>
      <c r="C125" s="1374"/>
      <c r="D125" s="1374"/>
      <c r="E125" s="1374"/>
      <c r="F125" s="1375"/>
      <c r="G125" s="1264"/>
      <c r="H125" s="1264"/>
      <c r="I125" s="1264"/>
      <c r="J125" s="1370"/>
      <c r="K125" s="1264"/>
      <c r="L125" s="1245"/>
      <c r="M125" s="1248"/>
      <c r="N125" s="640"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9"/>
      <c r="AW125" s="642" t="str">
        <f>IF('別紙様式2-2（４・５月分）'!O97="","",'別紙様式2-2（４・５月分）'!O97)</f>
        <v/>
      </c>
      <c r="AX125" s="1503"/>
      <c r="AY125"/>
      <c r="AZ125"/>
      <c r="BA125"/>
      <c r="BB125"/>
      <c r="BC125"/>
      <c r="BD125"/>
      <c r="BE125"/>
      <c r="BF125"/>
      <c r="BG125"/>
      <c r="BH125"/>
      <c r="BI125"/>
      <c r="BJ125"/>
      <c r="BK125"/>
      <c r="BL125" s="535"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IFERROR(IF(AND(OR(N126="",N127="",N129=""),U126=""),0,ROUNDDOWN(ROUNDDOWN(ROUND(L126*VLOOKUP(K126,【参考】数式用!$A$5:$AB$27,MATCH("新加算Ⅳ",【参考】数式用!$B$4:$AB$4,0)+1,0),0)*M126,0)*AG126*0.5,0)),"")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48" t="str">
        <f t="shared" si="67"/>
        <v/>
      </c>
      <c r="AU126" s="641"/>
      <c r="AV126" s="1489" t="str">
        <f>IF(K126&lt;&gt;"","V列に色付け","")</f>
        <v/>
      </c>
      <c r="AW126" s="642" t="str">
        <f>IF('別紙様式2-2（４・５月分）'!O98="","",'別紙様式2-2（４・５月分）'!O98)</f>
        <v/>
      </c>
      <c r="AX126" s="1503">
        <f>SUM('別紙様式2-2（４・５月分）'!P98:P100)</f>
        <v>0</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5"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1"/>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35"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IFERROR(IF(AND(OR(N126="",N127="",N129=""),U126=""),0,ROUNDDOWN(ROUNDDOWN(ROUND(L126*VLOOKUP(K126,【参考】数式用!$A$5:$AB$27,MATCH("新加算Ⅳ",【参考】数式用!$B$4:$AB$4,0)+1,0),0)*M126,0)*AG128*0.5,0)),"")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1"/>
      <c r="AV128" s="1489" t="str">
        <f>IF(K126&lt;&gt;"","V列に色付け","")</f>
        <v/>
      </c>
      <c r="AW128" s="1514"/>
      <c r="AX128" s="1503"/>
      <c r="AY128"/>
      <c r="AZ128"/>
      <c r="BA128"/>
      <c r="BB128"/>
      <c r="BC128"/>
      <c r="BD128"/>
      <c r="BE128"/>
      <c r="BF128"/>
      <c r="BG128"/>
      <c r="BH128"/>
      <c r="BI128"/>
      <c r="BJ128"/>
      <c r="BK128"/>
      <c r="BL128" s="535" t="str">
        <f>G126</f>
        <v/>
      </c>
    </row>
    <row r="129" spans="1:64" ht="30" customHeight="1" thickBot="1">
      <c r="A129" s="1224"/>
      <c r="B129" s="1373"/>
      <c r="C129" s="1374"/>
      <c r="D129" s="1374"/>
      <c r="E129" s="1374"/>
      <c r="F129" s="1375"/>
      <c r="G129" s="1264"/>
      <c r="H129" s="1264"/>
      <c r="I129" s="1264"/>
      <c r="J129" s="1370"/>
      <c r="K129" s="1264"/>
      <c r="L129" s="1245"/>
      <c r="M129" s="1372"/>
      <c r="N129" s="640"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9"/>
      <c r="AW129" s="642" t="str">
        <f>IF('別紙様式2-2（４・５月分）'!O100="","",'別紙様式2-2（４・５月分）'!O100)</f>
        <v/>
      </c>
      <c r="AX129" s="1503"/>
      <c r="AY129"/>
      <c r="AZ129"/>
      <c r="BA129"/>
      <c r="BB129"/>
      <c r="BC129"/>
      <c r="BD129"/>
      <c r="BE129"/>
      <c r="BF129"/>
      <c r="BG129"/>
      <c r="BH129"/>
      <c r="BI129"/>
      <c r="BJ129"/>
      <c r="BK129"/>
      <c r="BL129" s="535"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IFERROR(IF(AND(OR(N130="",N131="",N133=""),U130=""),0,ROUNDDOWN(ROUNDDOWN(ROUND(L130*VLOOKUP(K130,【参考】数式用!$A$5:$AB$27,MATCH("新加算Ⅳ",【参考】数式用!$B$4:$AB$4,0)+1,0),0)*M130,0)*AG130*0.5,0)),"")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48" t="str">
        <f t="shared" si="67"/>
        <v/>
      </c>
      <c r="AU130" s="641"/>
      <c r="AV130" s="1489" t="str">
        <f>IF(K130&lt;&gt;"","V列に色付け","")</f>
        <v/>
      </c>
      <c r="AW130" s="642" t="str">
        <f>IF('別紙様式2-2（４・５月分）'!O101="","",'別紙様式2-2（４・５月分）'!O101)</f>
        <v/>
      </c>
      <c r="AX130" s="1503">
        <f>SUM('別紙様式2-2（４・５月分）'!P101:P103)</f>
        <v>0</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5"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1"/>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35"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IFERROR(IF(AND(OR(N130="",N131="",N133=""),U130=""),0,ROUNDDOWN(ROUNDDOWN(ROUND(L130*VLOOKUP(K130,【参考】数式用!$A$5:$AB$27,MATCH("新加算Ⅳ",【参考】数式用!$B$4:$AB$4,0)+1,0),0)*M130,0)*AG132*0.5,0)),"")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1"/>
      <c r="AV132" s="1489" t="str">
        <f>IF(K130&lt;&gt;"","V列に色付け","")</f>
        <v/>
      </c>
      <c r="AW132" s="1514"/>
      <c r="AX132" s="1503"/>
      <c r="AY132"/>
      <c r="AZ132"/>
      <c r="BA132"/>
      <c r="BB132"/>
      <c r="BC132"/>
      <c r="BD132"/>
      <c r="BE132"/>
      <c r="BF132"/>
      <c r="BG132"/>
      <c r="BH132"/>
      <c r="BI132"/>
      <c r="BJ132"/>
      <c r="BK132"/>
      <c r="BL132" s="535" t="str">
        <f>G130</f>
        <v/>
      </c>
    </row>
    <row r="133" spans="1:64" ht="30" customHeight="1" thickBot="1">
      <c r="A133" s="1224"/>
      <c r="B133" s="1373"/>
      <c r="C133" s="1374"/>
      <c r="D133" s="1374"/>
      <c r="E133" s="1374"/>
      <c r="F133" s="1375"/>
      <c r="G133" s="1264"/>
      <c r="H133" s="1264"/>
      <c r="I133" s="1264"/>
      <c r="J133" s="1370"/>
      <c r="K133" s="1264"/>
      <c r="L133" s="1245"/>
      <c r="M133" s="1248"/>
      <c r="N133" s="640"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9"/>
      <c r="AW133" s="642" t="str">
        <f>IF('別紙様式2-2（４・５月分）'!O103="","",'別紙様式2-2（４・５月分）'!O103)</f>
        <v/>
      </c>
      <c r="AX133" s="1503"/>
      <c r="AY133"/>
      <c r="AZ133"/>
      <c r="BA133"/>
      <c r="BB133"/>
      <c r="BC133"/>
      <c r="BD133"/>
      <c r="BE133"/>
      <c r="BF133"/>
      <c r="BG133"/>
      <c r="BH133"/>
      <c r="BI133"/>
      <c r="BJ133"/>
      <c r="BK133"/>
      <c r="BL133" s="535"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IFERROR(IF(AND(OR(N134="",N135="",N137=""),U134=""),0,ROUNDDOWN(ROUNDDOWN(ROUND(L134*VLOOKUP(K134,【参考】数式用!$A$5:$AB$27,MATCH("新加算Ⅳ",【参考】数式用!$B$4:$AB$4,0)+1,0),0)*M134,0)*AG134*0.5,0)),"")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48" t="str">
        <f t="shared" si="67"/>
        <v/>
      </c>
      <c r="AU134" s="641"/>
      <c r="AV134" s="1489" t="str">
        <f>IF(K134&lt;&gt;"","V列に色付け","")</f>
        <v/>
      </c>
      <c r="AW134" s="642" t="str">
        <f>IF('別紙様式2-2（４・５月分）'!O104="","",'別紙様式2-2（４・５月分）'!O104)</f>
        <v/>
      </c>
      <c r="AX134" s="1503">
        <f>SUM('別紙様式2-2（４・５月分）'!P104:P106)</f>
        <v>0</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5"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1"/>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35"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IFERROR(IF(AND(OR(N134="",N135="",N137=""),U134=""),0,ROUNDDOWN(ROUNDDOWN(ROUND(L134*VLOOKUP(K134,【参考】数式用!$A$5:$AB$27,MATCH("新加算Ⅳ",【参考】数式用!$B$4:$AB$4,0)+1,0),0)*M134,0)*AG136*0.5,0)),"")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1"/>
      <c r="AV136" s="1489" t="str">
        <f>IF(K134&lt;&gt;"","V列に色付け","")</f>
        <v/>
      </c>
      <c r="AW136" s="1514"/>
      <c r="AX136" s="1503"/>
      <c r="AY136"/>
      <c r="AZ136"/>
      <c r="BA136"/>
      <c r="BB136"/>
      <c r="BC136"/>
      <c r="BD136"/>
      <c r="BE136"/>
      <c r="BF136"/>
      <c r="BG136"/>
      <c r="BH136"/>
      <c r="BI136"/>
      <c r="BJ136"/>
      <c r="BK136"/>
      <c r="BL136" s="535" t="str">
        <f>G134</f>
        <v/>
      </c>
    </row>
    <row r="137" spans="1:64" ht="30" customHeight="1" thickBot="1">
      <c r="A137" s="1224"/>
      <c r="B137" s="1373"/>
      <c r="C137" s="1374"/>
      <c r="D137" s="1374"/>
      <c r="E137" s="1374"/>
      <c r="F137" s="1375"/>
      <c r="G137" s="1264"/>
      <c r="H137" s="1264"/>
      <c r="I137" s="1264"/>
      <c r="J137" s="1370"/>
      <c r="K137" s="1264"/>
      <c r="L137" s="1245"/>
      <c r="M137" s="1372"/>
      <c r="N137" s="640"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9"/>
      <c r="AW137" s="642" t="str">
        <f>IF('別紙様式2-2（４・５月分）'!O106="","",'別紙様式2-2（４・５月分）'!O106)</f>
        <v/>
      </c>
      <c r="AX137" s="1503"/>
      <c r="AY137"/>
      <c r="AZ137"/>
      <c r="BA137"/>
      <c r="BB137"/>
      <c r="BC137"/>
      <c r="BD137"/>
      <c r="BE137"/>
      <c r="BF137"/>
      <c r="BG137"/>
      <c r="BH137"/>
      <c r="BI137"/>
      <c r="BJ137"/>
      <c r="BK137"/>
      <c r="BL137" s="535"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IFERROR(IF(AND(OR(N138="",N139="",N141=""),U138=""),0,ROUNDDOWN(ROUNDDOWN(ROUND(L138*VLOOKUP(K138,【参考】数式用!$A$5:$AB$27,MATCH("新加算Ⅳ",【参考】数式用!$B$4:$AB$4,0)+1,0),0)*M138,0)*AG138*0.5,0)),"")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48" t="str">
        <f t="shared" si="67"/>
        <v/>
      </c>
      <c r="AU138" s="641"/>
      <c r="AV138" s="1489" t="str">
        <f>IF(K138&lt;&gt;"","V列に色付け","")</f>
        <v/>
      </c>
      <c r="AW138" s="642" t="str">
        <f>IF('別紙様式2-2（４・５月分）'!O107="","",'別紙様式2-2（４・５月分）'!O107)</f>
        <v/>
      </c>
      <c r="AX138" s="1503">
        <f>SUM('別紙様式2-2（４・５月分）'!P107:P109)</f>
        <v>0</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5"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1"/>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35"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IFERROR(IF(AND(OR(N138="",N139="",N141=""),U138=""),0,ROUNDDOWN(ROUNDDOWN(ROUND(L138*VLOOKUP(K138,【参考】数式用!$A$5:$AB$27,MATCH("新加算Ⅳ",【参考】数式用!$B$4:$AB$4,0)+1,0),0)*M138,0)*AG140*0.5,0)),"")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1"/>
      <c r="AV140" s="1489" t="str">
        <f>IF(K138&lt;&gt;"","V列に色付け","")</f>
        <v/>
      </c>
      <c r="AW140" s="1514"/>
      <c r="AX140" s="1503"/>
      <c r="AY140"/>
      <c r="AZ140"/>
      <c r="BA140"/>
      <c r="BB140"/>
      <c r="BC140"/>
      <c r="BD140"/>
      <c r="BE140"/>
      <c r="BF140"/>
      <c r="BG140"/>
      <c r="BH140"/>
      <c r="BI140"/>
      <c r="BJ140"/>
      <c r="BK140"/>
      <c r="BL140" s="535" t="str">
        <f>G138</f>
        <v/>
      </c>
    </row>
    <row r="141" spans="1:64" ht="30" customHeight="1" thickBot="1">
      <c r="A141" s="1224"/>
      <c r="B141" s="1373"/>
      <c r="C141" s="1374"/>
      <c r="D141" s="1374"/>
      <c r="E141" s="1374"/>
      <c r="F141" s="1375"/>
      <c r="G141" s="1264"/>
      <c r="H141" s="1264"/>
      <c r="I141" s="1264"/>
      <c r="J141" s="1370"/>
      <c r="K141" s="1264"/>
      <c r="L141" s="1245"/>
      <c r="M141" s="1248"/>
      <c r="N141" s="640"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9"/>
      <c r="AW141" s="642" t="str">
        <f>IF('別紙様式2-2（４・５月分）'!O109="","",'別紙様式2-2（４・５月分）'!O109)</f>
        <v/>
      </c>
      <c r="AX141" s="1503"/>
      <c r="AY141"/>
      <c r="AZ141"/>
      <c r="BA141"/>
      <c r="BB141"/>
      <c r="BC141"/>
      <c r="BD141"/>
      <c r="BE141"/>
      <c r="BF141"/>
      <c r="BG141"/>
      <c r="BH141"/>
      <c r="BI141"/>
      <c r="BJ141"/>
      <c r="BK141"/>
      <c r="BL141" s="535"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IFERROR(IF(AND(OR(N142="",N143="",N145=""),U142=""),0,ROUNDDOWN(ROUNDDOWN(ROUND(L142*VLOOKUP(K142,【参考】数式用!$A$5:$AB$27,MATCH("新加算Ⅳ",【参考】数式用!$B$4:$AB$4,0)+1,0),0)*M142,0)*AG142*0.5,0)),"")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48" t="str">
        <f t="shared" si="67"/>
        <v/>
      </c>
      <c r="AU142" s="641"/>
      <c r="AV142" s="1489" t="str">
        <f>IF(K142&lt;&gt;"","V列に色付け","")</f>
        <v/>
      </c>
      <c r="AW142" s="642" t="str">
        <f>IF('別紙様式2-2（４・５月分）'!O110="","",'別紙様式2-2（４・５月分）'!O110)</f>
        <v/>
      </c>
      <c r="AX142" s="1503">
        <f>SUM('別紙様式2-2（４・５月分）'!P110:P112)</f>
        <v>0</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5"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1"/>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35"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IFERROR(IF(AND(OR(N142="",N143="",N145=""),U142=""),0,ROUNDDOWN(ROUNDDOWN(ROUND(L142*VLOOKUP(K142,【参考】数式用!$A$5:$AB$27,MATCH("新加算Ⅳ",【参考】数式用!$B$4:$AB$4,0)+1,0),0)*M142,0)*AG144*0.5,0)),"")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1"/>
      <c r="AV144" s="1489" t="str">
        <f>IF(K142&lt;&gt;"","V列に色付け","")</f>
        <v/>
      </c>
      <c r="AW144" s="1514"/>
      <c r="AX144" s="1503"/>
      <c r="AY144"/>
      <c r="AZ144"/>
      <c r="BA144"/>
      <c r="BB144"/>
      <c r="BC144"/>
      <c r="BD144"/>
      <c r="BE144"/>
      <c r="BF144"/>
      <c r="BG144"/>
      <c r="BH144"/>
      <c r="BI144"/>
      <c r="BJ144"/>
      <c r="BK144"/>
      <c r="BL144" s="535" t="str">
        <f>G142</f>
        <v/>
      </c>
    </row>
    <row r="145" spans="1:64" ht="30" customHeight="1" thickBot="1">
      <c r="A145" s="1224"/>
      <c r="B145" s="1373"/>
      <c r="C145" s="1374"/>
      <c r="D145" s="1374"/>
      <c r="E145" s="1374"/>
      <c r="F145" s="1375"/>
      <c r="G145" s="1264"/>
      <c r="H145" s="1264"/>
      <c r="I145" s="1264"/>
      <c r="J145" s="1370"/>
      <c r="K145" s="1264"/>
      <c r="L145" s="1245"/>
      <c r="M145" s="1372"/>
      <c r="N145" s="640"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9"/>
      <c r="AW145" s="642" t="str">
        <f>IF('別紙様式2-2（４・５月分）'!O112="","",'別紙様式2-2（４・５月分）'!O112)</f>
        <v/>
      </c>
      <c r="AX145" s="1503"/>
      <c r="AY145"/>
      <c r="AZ145"/>
      <c r="BA145"/>
      <c r="BB145"/>
      <c r="BC145"/>
      <c r="BD145"/>
      <c r="BE145"/>
      <c r="BF145"/>
      <c r="BG145"/>
      <c r="BH145"/>
      <c r="BI145"/>
      <c r="BJ145"/>
      <c r="BK145"/>
      <c r="BL145" s="535"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IFERROR(IF(AND(OR(N146="",N147="",N149=""),U146=""),0,ROUNDDOWN(ROUNDDOWN(ROUND(L146*VLOOKUP(K146,【参考】数式用!$A$5:$AB$27,MATCH("新加算Ⅳ",【参考】数式用!$B$4:$AB$4,0)+1,0),0)*M146,0)*AG146*0.5,0)),"")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48" t="str">
        <f t="shared" ref="AT146:AT206" si="134">IF(AV146="","",IF(V146&lt;O146,"！加算の要件上は問題ありませんが、令和６年４・５月と比較して令和６年６月に加算率が下がる計画になっています。",""))</f>
        <v/>
      </c>
      <c r="AU146" s="641"/>
      <c r="AV146" s="1489" t="str">
        <f>IF(K146&lt;&gt;"","V列に色付け","")</f>
        <v/>
      </c>
      <c r="AW146" s="642" t="str">
        <f>IF('別紙様式2-2（４・５月分）'!O113="","",'別紙様式2-2（４・５月分）'!O113)</f>
        <v/>
      </c>
      <c r="AX146" s="1503">
        <f>SUM('別紙様式2-2（４・５月分）'!P113:P115)</f>
        <v>0</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5"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35"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IFERROR(IF(AND(OR(N146="",N147="",N149=""),U146=""),0,ROUNDDOWN(ROUNDDOWN(ROUND(L146*VLOOKUP(K146,【参考】数式用!$A$5:$AB$27,MATCH("新加算Ⅳ",【参考】数式用!$B$4:$AB$4,0)+1,0),0)*M146,0)*AG148*0.5,0)),"")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1"/>
      <c r="AV148" s="1489" t="str">
        <f>IF(K146&lt;&gt;"","V列に色付け","")</f>
        <v/>
      </c>
      <c r="AW148" s="1514"/>
      <c r="AX148" s="1503"/>
      <c r="AY148"/>
      <c r="AZ148"/>
      <c r="BA148"/>
      <c r="BB148"/>
      <c r="BC148"/>
      <c r="BD148"/>
      <c r="BE148"/>
      <c r="BF148"/>
      <c r="BG148"/>
      <c r="BH148"/>
      <c r="BI148"/>
      <c r="BJ148"/>
      <c r="BK148"/>
      <c r="BL148" s="535" t="str">
        <f>G146</f>
        <v/>
      </c>
    </row>
    <row r="149" spans="1:64" ht="30" customHeight="1" thickBot="1">
      <c r="A149" s="1224"/>
      <c r="B149" s="1373"/>
      <c r="C149" s="1374"/>
      <c r="D149" s="1374"/>
      <c r="E149" s="1374"/>
      <c r="F149" s="1375"/>
      <c r="G149" s="1264"/>
      <c r="H149" s="1264"/>
      <c r="I149" s="1264"/>
      <c r="J149" s="1370"/>
      <c r="K149" s="1264"/>
      <c r="L149" s="1245"/>
      <c r="M149" s="1248"/>
      <c r="N149" s="640"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9"/>
      <c r="AW149" s="642" t="str">
        <f>IF('別紙様式2-2（４・５月分）'!O115="","",'別紙様式2-2（４・５月分）'!O115)</f>
        <v/>
      </c>
      <c r="AX149" s="1503"/>
      <c r="AY149"/>
      <c r="AZ149"/>
      <c r="BA149"/>
      <c r="BB149"/>
      <c r="BC149"/>
      <c r="BD149"/>
      <c r="BE149"/>
      <c r="BF149"/>
      <c r="BG149"/>
      <c r="BH149"/>
      <c r="BI149"/>
      <c r="BJ149"/>
      <c r="BK149"/>
      <c r="BL149" s="535"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IFERROR(IF(AND(OR(N150="",N151="",N153=""),U150=""),0,ROUNDDOWN(ROUNDDOWN(ROUND(L150*VLOOKUP(K150,【参考】数式用!$A$5:$AB$27,MATCH("新加算Ⅳ",【参考】数式用!$B$4:$AB$4,0)+1,0),0)*M150,0)*AG150*0.5,0)),"")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48" t="str">
        <f t="shared" si="134"/>
        <v/>
      </c>
      <c r="AU150" s="641"/>
      <c r="AV150" s="1489" t="str">
        <f>IF(K150&lt;&gt;"","V列に色付け","")</f>
        <v/>
      </c>
      <c r="AW150" s="642" t="str">
        <f>IF('別紙様式2-2（４・５月分）'!O116="","",'別紙様式2-2（４・５月分）'!O116)</f>
        <v/>
      </c>
      <c r="AX150" s="1503">
        <f>SUM('別紙様式2-2（４・５月分）'!P116:P118)</f>
        <v>0</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5"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1"/>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35"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IFERROR(IF(AND(OR(N150="",N151="",N153=""),U150=""),0,ROUNDDOWN(ROUNDDOWN(ROUND(L150*VLOOKUP(K150,【参考】数式用!$A$5:$AB$27,MATCH("新加算Ⅳ",【参考】数式用!$B$4:$AB$4,0)+1,0),0)*M150,0)*AG152*0.5,0)),"")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1"/>
      <c r="AV152" s="1489" t="str">
        <f>IF(K150&lt;&gt;"","V列に色付け","")</f>
        <v/>
      </c>
      <c r="AW152" s="1514"/>
      <c r="AX152" s="1503"/>
      <c r="AY152"/>
      <c r="AZ152"/>
      <c r="BA152"/>
      <c r="BB152"/>
      <c r="BC152"/>
      <c r="BD152"/>
      <c r="BE152"/>
      <c r="BF152"/>
      <c r="BG152"/>
      <c r="BH152"/>
      <c r="BI152"/>
      <c r="BJ152"/>
      <c r="BK152"/>
      <c r="BL152" s="535" t="str">
        <f>G150</f>
        <v/>
      </c>
    </row>
    <row r="153" spans="1:64" ht="30" customHeight="1" thickBot="1">
      <c r="A153" s="1224"/>
      <c r="B153" s="1373"/>
      <c r="C153" s="1374"/>
      <c r="D153" s="1374"/>
      <c r="E153" s="1374"/>
      <c r="F153" s="1375"/>
      <c r="G153" s="1264"/>
      <c r="H153" s="1264"/>
      <c r="I153" s="1264"/>
      <c r="J153" s="1370"/>
      <c r="K153" s="1264"/>
      <c r="L153" s="1245"/>
      <c r="M153" s="1372"/>
      <c r="N153" s="640"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9"/>
      <c r="AW153" s="642" t="str">
        <f>IF('別紙様式2-2（４・５月分）'!O118="","",'別紙様式2-2（４・５月分）'!O118)</f>
        <v/>
      </c>
      <c r="AX153" s="1503"/>
      <c r="AY153"/>
      <c r="AZ153"/>
      <c r="BA153"/>
      <c r="BB153"/>
      <c r="BC153"/>
      <c r="BD153"/>
      <c r="BE153"/>
      <c r="BF153"/>
      <c r="BG153"/>
      <c r="BH153"/>
      <c r="BI153"/>
      <c r="BJ153"/>
      <c r="BK153"/>
      <c r="BL153" s="535"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IFERROR(IF(AND(OR(N154="",N155="",N157=""),U154=""),0,ROUNDDOWN(ROUNDDOWN(ROUND(L154*VLOOKUP(K154,【参考】数式用!$A$5:$AB$27,MATCH("新加算Ⅳ",【参考】数式用!$B$4:$AB$4,0)+1,0),0)*M154,0)*AG154*0.5,0)),"")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48" t="str">
        <f t="shared" si="134"/>
        <v/>
      </c>
      <c r="AU154" s="641"/>
      <c r="AV154" s="1489" t="str">
        <f>IF(K154&lt;&gt;"","V列に色付け","")</f>
        <v/>
      </c>
      <c r="AW154" s="642" t="str">
        <f>IF('別紙様式2-2（４・５月分）'!O119="","",'別紙様式2-2（４・５月分）'!O119)</f>
        <v/>
      </c>
      <c r="AX154" s="1503">
        <f>SUM('別紙様式2-2（４・５月分）'!P119:P121)</f>
        <v>0</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5"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1"/>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35"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IFERROR(IF(AND(OR(N154="",N155="",N157=""),U154=""),0,ROUNDDOWN(ROUNDDOWN(ROUND(L154*VLOOKUP(K154,【参考】数式用!$A$5:$AB$27,MATCH("新加算Ⅳ",【参考】数式用!$B$4:$AB$4,0)+1,0),0)*M154,0)*AG156*0.5,0)),"")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1"/>
      <c r="AV156" s="1489" t="str">
        <f>IF(K154&lt;&gt;"","V列に色付け","")</f>
        <v/>
      </c>
      <c r="AW156" s="1514"/>
      <c r="AX156" s="1503"/>
      <c r="AY156"/>
      <c r="AZ156"/>
      <c r="BA156"/>
      <c r="BB156"/>
      <c r="BC156"/>
      <c r="BD156"/>
      <c r="BE156"/>
      <c r="BF156"/>
      <c r="BG156"/>
      <c r="BH156"/>
      <c r="BI156"/>
      <c r="BJ156"/>
      <c r="BK156"/>
      <c r="BL156" s="535" t="str">
        <f>G154</f>
        <v/>
      </c>
    </row>
    <row r="157" spans="1:64" ht="30" customHeight="1" thickBot="1">
      <c r="A157" s="1224"/>
      <c r="B157" s="1373"/>
      <c r="C157" s="1374"/>
      <c r="D157" s="1374"/>
      <c r="E157" s="1374"/>
      <c r="F157" s="1375"/>
      <c r="G157" s="1264"/>
      <c r="H157" s="1264"/>
      <c r="I157" s="1264"/>
      <c r="J157" s="1370"/>
      <c r="K157" s="1264"/>
      <c r="L157" s="1245"/>
      <c r="M157" s="1248"/>
      <c r="N157" s="640"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9"/>
      <c r="AW157" s="642" t="str">
        <f>IF('別紙様式2-2（４・５月分）'!O121="","",'別紙様式2-2（４・５月分）'!O121)</f>
        <v/>
      </c>
      <c r="AX157" s="1503"/>
      <c r="AY157"/>
      <c r="AZ157"/>
      <c r="BA157"/>
      <c r="BB157"/>
      <c r="BC157"/>
      <c r="BD157"/>
      <c r="BE157"/>
      <c r="BF157"/>
      <c r="BG157"/>
      <c r="BH157"/>
      <c r="BI157"/>
      <c r="BJ157"/>
      <c r="BK157"/>
      <c r="BL157" s="535"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IFERROR(IF(AND(OR(N158="",N159="",N161=""),U158=""),0,ROUNDDOWN(ROUNDDOWN(ROUND(L158*VLOOKUP(K158,【参考】数式用!$A$5:$AB$27,MATCH("新加算Ⅳ",【参考】数式用!$B$4:$AB$4,0)+1,0),0)*M158,0)*AG158*0.5,0)),"")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48" t="str">
        <f t="shared" si="134"/>
        <v/>
      </c>
      <c r="AU158" s="641"/>
      <c r="AV158" s="1489" t="str">
        <f>IF(K158&lt;&gt;"","V列に色付け","")</f>
        <v/>
      </c>
      <c r="AW158" s="642" t="str">
        <f>IF('別紙様式2-2（４・５月分）'!O122="","",'別紙様式2-2（４・５月分）'!O122)</f>
        <v/>
      </c>
      <c r="AX158" s="1503">
        <f>SUM('別紙様式2-2（４・５月分）'!P122:P124)</f>
        <v>0</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5"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1"/>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35"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IFERROR(IF(AND(OR(N158="",N159="",N161=""),U158=""),0,ROUNDDOWN(ROUNDDOWN(ROUND(L158*VLOOKUP(K158,【参考】数式用!$A$5:$AB$27,MATCH("新加算Ⅳ",【参考】数式用!$B$4:$AB$4,0)+1,0),0)*M158,0)*AG160*0.5,0)),"")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1"/>
      <c r="AV160" s="1489" t="str">
        <f>IF(K158&lt;&gt;"","V列に色付け","")</f>
        <v/>
      </c>
      <c r="AW160" s="1514"/>
      <c r="AX160" s="1503"/>
      <c r="AY160"/>
      <c r="AZ160"/>
      <c r="BA160"/>
      <c r="BB160"/>
      <c r="BC160"/>
      <c r="BD160"/>
      <c r="BE160"/>
      <c r="BF160"/>
      <c r="BG160"/>
      <c r="BH160"/>
      <c r="BI160"/>
      <c r="BJ160"/>
      <c r="BK160"/>
      <c r="BL160" s="535" t="str">
        <f>G158</f>
        <v/>
      </c>
    </row>
    <row r="161" spans="1:64" ht="30" customHeight="1" thickBot="1">
      <c r="A161" s="1224"/>
      <c r="B161" s="1373"/>
      <c r="C161" s="1374"/>
      <c r="D161" s="1374"/>
      <c r="E161" s="1374"/>
      <c r="F161" s="1375"/>
      <c r="G161" s="1264"/>
      <c r="H161" s="1264"/>
      <c r="I161" s="1264"/>
      <c r="J161" s="1370"/>
      <c r="K161" s="1264"/>
      <c r="L161" s="1245"/>
      <c r="M161" s="1372"/>
      <c r="N161" s="640"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9"/>
      <c r="AW161" s="642" t="str">
        <f>IF('別紙様式2-2（４・５月分）'!O124="","",'別紙様式2-2（４・５月分）'!O124)</f>
        <v/>
      </c>
      <c r="AX161" s="1503"/>
      <c r="AY161"/>
      <c r="AZ161"/>
      <c r="BA161"/>
      <c r="BB161"/>
      <c r="BC161"/>
      <c r="BD161"/>
      <c r="BE161"/>
      <c r="BF161"/>
      <c r="BG161"/>
      <c r="BH161"/>
      <c r="BI161"/>
      <c r="BJ161"/>
      <c r="BK161"/>
      <c r="BL161" s="535"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IFERROR(IF(AND(OR(N162="",N163="",N165=""),U162=""),0,ROUNDDOWN(ROUNDDOWN(ROUND(L162*VLOOKUP(K162,【参考】数式用!$A$5:$AB$27,MATCH("新加算Ⅳ",【参考】数式用!$B$4:$AB$4,0)+1,0),0)*M162,0)*AG162*0.5,0)),"")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48" t="str">
        <f t="shared" si="134"/>
        <v/>
      </c>
      <c r="AU162" s="641"/>
      <c r="AV162" s="1489" t="str">
        <f>IF(K162&lt;&gt;"","V列に色付け","")</f>
        <v/>
      </c>
      <c r="AW162" s="642" t="str">
        <f>IF('別紙様式2-2（４・５月分）'!O125="","",'別紙様式2-2（４・５月分）'!O125)</f>
        <v/>
      </c>
      <c r="AX162" s="1503">
        <f>SUM('別紙様式2-2（４・５月分）'!P125:P127)</f>
        <v>0</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5"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1"/>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35"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IFERROR(IF(AND(OR(N162="",N163="",N165=""),U162=""),0,ROUNDDOWN(ROUNDDOWN(ROUND(L162*VLOOKUP(K162,【参考】数式用!$A$5:$AB$27,MATCH("新加算Ⅳ",【参考】数式用!$B$4:$AB$4,0)+1,0),0)*M162,0)*AG164*0.5,0)),"")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1"/>
      <c r="AV164" s="1489" t="str">
        <f>IF(K162&lt;&gt;"","V列に色付け","")</f>
        <v/>
      </c>
      <c r="AW164" s="1514"/>
      <c r="AX164" s="1503"/>
      <c r="AY164"/>
      <c r="AZ164"/>
      <c r="BA164"/>
      <c r="BB164"/>
      <c r="BC164"/>
      <c r="BD164"/>
      <c r="BE164"/>
      <c r="BF164"/>
      <c r="BG164"/>
      <c r="BH164"/>
      <c r="BI164"/>
      <c r="BJ164"/>
      <c r="BK164"/>
      <c r="BL164" s="535" t="str">
        <f>G162</f>
        <v/>
      </c>
    </row>
    <row r="165" spans="1:64" ht="30" customHeight="1" thickBot="1">
      <c r="A165" s="1224"/>
      <c r="B165" s="1373"/>
      <c r="C165" s="1374"/>
      <c r="D165" s="1374"/>
      <c r="E165" s="1374"/>
      <c r="F165" s="1375"/>
      <c r="G165" s="1264"/>
      <c r="H165" s="1264"/>
      <c r="I165" s="1264"/>
      <c r="J165" s="1370"/>
      <c r="K165" s="1264"/>
      <c r="L165" s="1245"/>
      <c r="M165" s="1248"/>
      <c r="N165" s="640"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9"/>
      <c r="AW165" s="642" t="str">
        <f>IF('別紙様式2-2（４・５月分）'!O127="","",'別紙様式2-2（４・５月分）'!O127)</f>
        <v/>
      </c>
      <c r="AX165" s="1503"/>
      <c r="AY165"/>
      <c r="AZ165"/>
      <c r="BA165"/>
      <c r="BB165"/>
      <c r="BC165"/>
      <c r="BD165"/>
      <c r="BE165"/>
      <c r="BF165"/>
      <c r="BG165"/>
      <c r="BH165"/>
      <c r="BI165"/>
      <c r="BJ165"/>
      <c r="BK165"/>
      <c r="BL165" s="535"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IFERROR(IF(AND(OR(N166="",N167="",N169=""),U166=""),0,ROUNDDOWN(ROUNDDOWN(ROUND(L166*VLOOKUP(K166,【参考】数式用!$A$5:$AB$27,MATCH("新加算Ⅳ",【参考】数式用!$B$4:$AB$4,0)+1,0),0)*M166,0)*AG166*0.5,0)),"")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48" t="str">
        <f t="shared" si="134"/>
        <v/>
      </c>
      <c r="AU166" s="641"/>
      <c r="AV166" s="1489" t="str">
        <f>IF(K166&lt;&gt;"","V列に色付け","")</f>
        <v/>
      </c>
      <c r="AW166" s="642" t="str">
        <f>IF('別紙様式2-2（４・５月分）'!O128="","",'別紙様式2-2（４・５月分）'!O128)</f>
        <v/>
      </c>
      <c r="AX166" s="1503">
        <f>SUM('別紙様式2-2（４・５月分）'!P128:P130)</f>
        <v>0</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5"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1"/>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35"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IFERROR(IF(AND(OR(N166="",N167="",N169=""),U166=""),0,ROUNDDOWN(ROUNDDOWN(ROUND(L166*VLOOKUP(K166,【参考】数式用!$A$5:$AB$27,MATCH("新加算Ⅳ",【参考】数式用!$B$4:$AB$4,0)+1,0),0)*M166,0)*AG168*0.5,0)),"")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1"/>
      <c r="AV168" s="1489" t="str">
        <f>IF(K166&lt;&gt;"","V列に色付け","")</f>
        <v/>
      </c>
      <c r="AW168" s="1514"/>
      <c r="AX168" s="1503"/>
      <c r="AY168"/>
      <c r="AZ168"/>
      <c r="BA168"/>
      <c r="BB168"/>
      <c r="BC168"/>
      <c r="BD168"/>
      <c r="BE168"/>
      <c r="BF168"/>
      <c r="BG168"/>
      <c r="BH168"/>
      <c r="BI168"/>
      <c r="BJ168"/>
      <c r="BK168"/>
      <c r="BL168" s="535" t="str">
        <f>G166</f>
        <v/>
      </c>
    </row>
    <row r="169" spans="1:64" ht="30" customHeight="1" thickBot="1">
      <c r="A169" s="1224"/>
      <c r="B169" s="1373"/>
      <c r="C169" s="1374"/>
      <c r="D169" s="1374"/>
      <c r="E169" s="1374"/>
      <c r="F169" s="1375"/>
      <c r="G169" s="1264"/>
      <c r="H169" s="1264"/>
      <c r="I169" s="1264"/>
      <c r="J169" s="1370"/>
      <c r="K169" s="1264"/>
      <c r="L169" s="1245"/>
      <c r="M169" s="1372"/>
      <c r="N169" s="640"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9"/>
      <c r="AW169" s="642" t="str">
        <f>IF('別紙様式2-2（４・５月分）'!O130="","",'別紙様式2-2（４・５月分）'!O130)</f>
        <v/>
      </c>
      <c r="AX169" s="1503"/>
      <c r="AY169"/>
      <c r="AZ169"/>
      <c r="BA169"/>
      <c r="BB169"/>
      <c r="BC169"/>
      <c r="BD169"/>
      <c r="BE169"/>
      <c r="BF169"/>
      <c r="BG169"/>
      <c r="BH169"/>
      <c r="BI169"/>
      <c r="BJ169"/>
      <c r="BK169"/>
      <c r="BL169" s="535"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IFERROR(IF(AND(OR(N170="",N171="",N173=""),U170=""),0,ROUNDDOWN(ROUNDDOWN(ROUND(L170*VLOOKUP(K170,【参考】数式用!$A$5:$AB$27,MATCH("新加算Ⅳ",【参考】数式用!$B$4:$AB$4,0)+1,0),0)*M170,0)*AG170*0.5,0)),"")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48" t="str">
        <f t="shared" si="134"/>
        <v/>
      </c>
      <c r="AU170" s="641"/>
      <c r="AV170" s="1489" t="str">
        <f>IF(K170&lt;&gt;"","V列に色付け","")</f>
        <v/>
      </c>
      <c r="AW170" s="642" t="str">
        <f>IF('別紙様式2-2（４・５月分）'!O131="","",'別紙様式2-2（４・５月分）'!O131)</f>
        <v/>
      </c>
      <c r="AX170" s="1503">
        <f>SUM('別紙様式2-2（４・５月分）'!P131:P133)</f>
        <v>0</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5"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1"/>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35"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IFERROR(IF(AND(OR(N170="",N171="",N173=""),U170=""),0,ROUNDDOWN(ROUNDDOWN(ROUND(L170*VLOOKUP(K170,【参考】数式用!$A$5:$AB$27,MATCH("新加算Ⅳ",【参考】数式用!$B$4:$AB$4,0)+1,0),0)*M170,0)*AG172*0.5,0)),"")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1"/>
      <c r="AV172" s="1489" t="str">
        <f>IF(K170&lt;&gt;"","V列に色付け","")</f>
        <v/>
      </c>
      <c r="AW172" s="1514"/>
      <c r="AX172" s="1503"/>
      <c r="AY172"/>
      <c r="AZ172"/>
      <c r="BA172"/>
      <c r="BB172"/>
      <c r="BC172"/>
      <c r="BD172"/>
      <c r="BE172"/>
      <c r="BF172"/>
      <c r="BG172"/>
      <c r="BH172"/>
      <c r="BI172"/>
      <c r="BJ172"/>
      <c r="BK172"/>
      <c r="BL172" s="535" t="str">
        <f>G170</f>
        <v/>
      </c>
    </row>
    <row r="173" spans="1:64" ht="30" customHeight="1" thickBot="1">
      <c r="A173" s="1224"/>
      <c r="B173" s="1373"/>
      <c r="C173" s="1374"/>
      <c r="D173" s="1374"/>
      <c r="E173" s="1374"/>
      <c r="F173" s="1375"/>
      <c r="G173" s="1264"/>
      <c r="H173" s="1264"/>
      <c r="I173" s="1264"/>
      <c r="J173" s="1370"/>
      <c r="K173" s="1264"/>
      <c r="L173" s="1245"/>
      <c r="M173" s="1372"/>
      <c r="N173" s="640"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9"/>
      <c r="AW173" s="642" t="str">
        <f>IF('別紙様式2-2（４・５月分）'!O133="","",'別紙様式2-2（４・５月分）'!O133)</f>
        <v/>
      </c>
      <c r="AX173" s="1503"/>
      <c r="AY173"/>
      <c r="AZ173"/>
      <c r="BA173"/>
      <c r="BB173"/>
      <c r="BC173"/>
      <c r="BD173"/>
      <c r="BE173"/>
      <c r="BF173"/>
      <c r="BG173"/>
      <c r="BH173"/>
      <c r="BI173"/>
      <c r="BJ173"/>
      <c r="BK173"/>
      <c r="BL173" s="535"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IFERROR(IF(AND(OR(N174="",N175="",N177=""),U174=""),0,ROUNDDOWN(ROUNDDOWN(ROUND(L174*VLOOKUP(K174,【参考】数式用!$A$5:$AB$27,MATCH("新加算Ⅳ",【参考】数式用!$B$4:$AB$4,0)+1,0),0)*M174,0)*AG174*0.5,0)),"")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48" t="str">
        <f t="shared" si="134"/>
        <v/>
      </c>
      <c r="AU174" s="641"/>
      <c r="AV174" s="1489" t="str">
        <f>IF(K174&lt;&gt;"","V列に色付け","")</f>
        <v/>
      </c>
      <c r="AW174" s="642" t="str">
        <f>IF('別紙様式2-2（４・５月分）'!O134="","",'別紙様式2-2（４・５月分）'!O134)</f>
        <v/>
      </c>
      <c r="AX174" s="1503">
        <f>SUM('別紙様式2-2（４・５月分）'!P134:P136)</f>
        <v>0</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5"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1"/>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35"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IFERROR(IF(AND(OR(N174="",N175="",N177=""),U174=""),0,ROUNDDOWN(ROUNDDOWN(ROUND(L174*VLOOKUP(K174,【参考】数式用!$A$5:$AB$27,MATCH("新加算Ⅳ",【参考】数式用!$B$4:$AB$4,0)+1,0),0)*M174,0)*AG176*0.5,0)),"")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1"/>
      <c r="AV176" s="1489" t="str">
        <f>IF(K174&lt;&gt;"","V列に色付け","")</f>
        <v/>
      </c>
      <c r="AW176" s="1514"/>
      <c r="AX176" s="1503"/>
      <c r="AY176"/>
      <c r="AZ176"/>
      <c r="BA176"/>
      <c r="BB176"/>
      <c r="BC176"/>
      <c r="BD176"/>
      <c r="BE176"/>
      <c r="BF176"/>
      <c r="BG176"/>
      <c r="BH176"/>
      <c r="BI176"/>
      <c r="BJ176"/>
      <c r="BK176"/>
      <c r="BL176" s="535" t="str">
        <f>G174</f>
        <v/>
      </c>
    </row>
    <row r="177" spans="1:64" ht="30" customHeight="1" thickBot="1">
      <c r="A177" s="1224"/>
      <c r="B177" s="1373"/>
      <c r="C177" s="1374"/>
      <c r="D177" s="1374"/>
      <c r="E177" s="1374"/>
      <c r="F177" s="1375"/>
      <c r="G177" s="1264"/>
      <c r="H177" s="1264"/>
      <c r="I177" s="1264"/>
      <c r="J177" s="1370"/>
      <c r="K177" s="1264"/>
      <c r="L177" s="1245"/>
      <c r="M177" s="1248"/>
      <c r="N177" s="640"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9"/>
      <c r="AW177" s="642" t="str">
        <f>IF('別紙様式2-2（４・５月分）'!O136="","",'別紙様式2-2（４・５月分）'!O136)</f>
        <v/>
      </c>
      <c r="AX177" s="1503"/>
      <c r="AY177"/>
      <c r="AZ177"/>
      <c r="BA177"/>
      <c r="BB177"/>
      <c r="BC177"/>
      <c r="BD177"/>
      <c r="BE177"/>
      <c r="BF177"/>
      <c r="BG177"/>
      <c r="BH177"/>
      <c r="BI177"/>
      <c r="BJ177"/>
      <c r="BK177"/>
      <c r="BL177" s="535"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IFERROR(IF(AND(OR(N178="",N179="",N181=""),U178=""),0,ROUNDDOWN(ROUNDDOWN(ROUND(L178*VLOOKUP(K178,【参考】数式用!$A$5:$AB$27,MATCH("新加算Ⅳ",【参考】数式用!$B$4:$AB$4,0)+1,0),0)*M178,0)*AG178*0.5,0)),"")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48" t="str">
        <f t="shared" si="134"/>
        <v/>
      </c>
      <c r="AU178" s="641"/>
      <c r="AV178" s="1489" t="str">
        <f>IF(K178&lt;&gt;"","V列に色付け","")</f>
        <v/>
      </c>
      <c r="AW178" s="642" t="str">
        <f>IF('別紙様式2-2（４・５月分）'!O137="","",'別紙様式2-2（４・５月分）'!O137)</f>
        <v/>
      </c>
      <c r="AX178" s="1503">
        <f>SUM('別紙様式2-2（４・５月分）'!P137:P139)</f>
        <v>0</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5"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1"/>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35"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IFERROR(IF(AND(OR(N178="",N179="",N181=""),U178=""),0,ROUNDDOWN(ROUNDDOWN(ROUND(L178*VLOOKUP(K178,【参考】数式用!$A$5:$AB$27,MATCH("新加算Ⅳ",【参考】数式用!$B$4:$AB$4,0)+1,0),0)*M178,0)*AG180*0.5,0)),"")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1"/>
      <c r="AV180" s="1489" t="str">
        <f>IF(K178&lt;&gt;"","V列に色付け","")</f>
        <v/>
      </c>
      <c r="AW180" s="1514"/>
      <c r="AX180" s="1503"/>
      <c r="AY180"/>
      <c r="AZ180"/>
      <c r="BA180"/>
      <c r="BB180"/>
      <c r="BC180"/>
      <c r="BD180"/>
      <c r="BE180"/>
      <c r="BF180"/>
      <c r="BG180"/>
      <c r="BH180"/>
      <c r="BI180"/>
      <c r="BJ180"/>
      <c r="BK180"/>
      <c r="BL180" s="535" t="str">
        <f>G178</f>
        <v/>
      </c>
    </row>
    <row r="181" spans="1:64" ht="30" customHeight="1" thickBot="1">
      <c r="A181" s="1224"/>
      <c r="B181" s="1373"/>
      <c r="C181" s="1374"/>
      <c r="D181" s="1374"/>
      <c r="E181" s="1374"/>
      <c r="F181" s="1375"/>
      <c r="G181" s="1264"/>
      <c r="H181" s="1264"/>
      <c r="I181" s="1264"/>
      <c r="J181" s="1370"/>
      <c r="K181" s="1264"/>
      <c r="L181" s="1245"/>
      <c r="M181" s="1372"/>
      <c r="N181" s="640"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9"/>
      <c r="AW181" s="642" t="str">
        <f>IF('別紙様式2-2（４・５月分）'!O139="","",'別紙様式2-2（４・５月分）'!O139)</f>
        <v/>
      </c>
      <c r="AX181" s="1503"/>
      <c r="AY181"/>
      <c r="AZ181"/>
      <c r="BA181"/>
      <c r="BB181"/>
      <c r="BC181"/>
      <c r="BD181"/>
      <c r="BE181"/>
      <c r="BF181"/>
      <c r="BG181"/>
      <c r="BH181"/>
      <c r="BI181"/>
      <c r="BJ181"/>
      <c r="BK181"/>
      <c r="BL181" s="535"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IFERROR(IF(AND(OR(N182="",N183="",N185=""),U182=""),0,ROUNDDOWN(ROUNDDOWN(ROUND(L182*VLOOKUP(K182,【参考】数式用!$A$5:$AB$27,MATCH("新加算Ⅳ",【参考】数式用!$B$4:$AB$4,0)+1,0),0)*M182,0)*AG182*0.5,0)),"")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48" t="str">
        <f t="shared" si="134"/>
        <v/>
      </c>
      <c r="AU182" s="641"/>
      <c r="AV182" s="1489" t="str">
        <f>IF(K182&lt;&gt;"","V列に色付け","")</f>
        <v/>
      </c>
      <c r="AW182" s="642" t="str">
        <f>IF('別紙様式2-2（４・５月分）'!O140="","",'別紙様式2-2（４・５月分）'!O140)</f>
        <v/>
      </c>
      <c r="AX182" s="1503">
        <f>SUM('別紙様式2-2（４・５月分）'!P140:P142)</f>
        <v>0</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5"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1"/>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35"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IFERROR(IF(AND(OR(N182="",N183="",N185=""),U182=""),0,ROUNDDOWN(ROUNDDOWN(ROUND(L182*VLOOKUP(K182,【参考】数式用!$A$5:$AB$27,MATCH("新加算Ⅳ",【参考】数式用!$B$4:$AB$4,0)+1,0),0)*M182,0)*AG184*0.5,0)),"")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1"/>
      <c r="AV184" s="1489" t="str">
        <f>IF(K182&lt;&gt;"","V列に色付け","")</f>
        <v/>
      </c>
      <c r="AW184" s="1514"/>
      <c r="AX184" s="1503"/>
      <c r="AY184"/>
      <c r="AZ184"/>
      <c r="BA184"/>
      <c r="BB184"/>
      <c r="BC184"/>
      <c r="BD184"/>
      <c r="BE184"/>
      <c r="BF184"/>
      <c r="BG184"/>
      <c r="BH184"/>
      <c r="BI184"/>
      <c r="BJ184"/>
      <c r="BK184"/>
      <c r="BL184" s="535" t="str">
        <f>G182</f>
        <v/>
      </c>
    </row>
    <row r="185" spans="1:64" ht="30" customHeight="1" thickBot="1">
      <c r="A185" s="1224"/>
      <c r="B185" s="1373"/>
      <c r="C185" s="1374"/>
      <c r="D185" s="1374"/>
      <c r="E185" s="1374"/>
      <c r="F185" s="1375"/>
      <c r="G185" s="1264"/>
      <c r="H185" s="1264"/>
      <c r="I185" s="1264"/>
      <c r="J185" s="1370"/>
      <c r="K185" s="1264"/>
      <c r="L185" s="1245"/>
      <c r="M185" s="1248"/>
      <c r="N185" s="640"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9"/>
      <c r="AW185" s="642" t="str">
        <f>IF('別紙様式2-2（４・５月分）'!O142="","",'別紙様式2-2（４・５月分）'!O142)</f>
        <v/>
      </c>
      <c r="AX185" s="1503"/>
      <c r="AY185"/>
      <c r="AZ185"/>
      <c r="BA185"/>
      <c r="BB185"/>
      <c r="BC185"/>
      <c r="BD185"/>
      <c r="BE185"/>
      <c r="BF185"/>
      <c r="BG185"/>
      <c r="BH185"/>
      <c r="BI185"/>
      <c r="BJ185"/>
      <c r="BK185"/>
      <c r="BL185" s="535"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IFERROR(IF(AND(OR(N186="",N187="",N189=""),U186=""),0,ROUNDDOWN(ROUNDDOWN(ROUND(L186*VLOOKUP(K186,【参考】数式用!$A$5:$AB$27,MATCH("新加算Ⅳ",【参考】数式用!$B$4:$AB$4,0)+1,0),0)*M186,0)*AG186*0.5,0)),"")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48" t="str">
        <f t="shared" si="134"/>
        <v/>
      </c>
      <c r="AU186" s="641"/>
      <c r="AV186" s="1489" t="str">
        <f>IF(K186&lt;&gt;"","V列に色付け","")</f>
        <v/>
      </c>
      <c r="AW186" s="642" t="str">
        <f>IF('別紙様式2-2（４・５月分）'!O143="","",'別紙様式2-2（４・５月分）'!O143)</f>
        <v/>
      </c>
      <c r="AX186" s="1503">
        <f>SUM('別紙様式2-2（４・５月分）'!P143:P145)</f>
        <v>0</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5"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1"/>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35"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IFERROR(IF(AND(OR(N186="",N187="",N189=""),U186=""),0,ROUNDDOWN(ROUNDDOWN(ROUND(L186*VLOOKUP(K186,【参考】数式用!$A$5:$AB$27,MATCH("新加算Ⅳ",【参考】数式用!$B$4:$AB$4,0)+1,0),0)*M186,0)*AG188*0.5,0)),"")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1"/>
      <c r="AV188" s="1489" t="str">
        <f>IF(K186&lt;&gt;"","V列に色付け","")</f>
        <v/>
      </c>
      <c r="AW188" s="1514"/>
      <c r="AX188" s="1503"/>
      <c r="AY188"/>
      <c r="AZ188"/>
      <c r="BA188"/>
      <c r="BB188"/>
      <c r="BC188"/>
      <c r="BD188"/>
      <c r="BE188"/>
      <c r="BF188"/>
      <c r="BG188"/>
      <c r="BH188"/>
      <c r="BI188"/>
      <c r="BJ188"/>
      <c r="BK188"/>
      <c r="BL188" s="535" t="str">
        <f>G186</f>
        <v/>
      </c>
    </row>
    <row r="189" spans="1:64" ht="30" customHeight="1" thickBot="1">
      <c r="A189" s="1224"/>
      <c r="B189" s="1373"/>
      <c r="C189" s="1374"/>
      <c r="D189" s="1374"/>
      <c r="E189" s="1374"/>
      <c r="F189" s="1375"/>
      <c r="G189" s="1264"/>
      <c r="H189" s="1264"/>
      <c r="I189" s="1264"/>
      <c r="J189" s="1370"/>
      <c r="K189" s="1264"/>
      <c r="L189" s="1245"/>
      <c r="M189" s="1372"/>
      <c r="N189" s="640"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9"/>
      <c r="AW189" s="642" t="str">
        <f>IF('別紙様式2-2（４・５月分）'!O145="","",'別紙様式2-2（４・５月分）'!O145)</f>
        <v/>
      </c>
      <c r="AX189" s="1503"/>
      <c r="AY189"/>
      <c r="AZ189"/>
      <c r="BA189"/>
      <c r="BB189"/>
      <c r="BC189"/>
      <c r="BD189"/>
      <c r="BE189"/>
      <c r="BF189"/>
      <c r="BG189"/>
      <c r="BH189"/>
      <c r="BI189"/>
      <c r="BJ189"/>
      <c r="BK189"/>
      <c r="BL189" s="535"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IFERROR(IF(AND(OR(N190="",N191="",N193=""),U190=""),0,ROUNDDOWN(ROUNDDOWN(ROUND(L190*VLOOKUP(K190,【参考】数式用!$A$5:$AB$27,MATCH("新加算Ⅳ",【参考】数式用!$B$4:$AB$4,0)+1,0),0)*M190,0)*AG190*0.5,0)),"")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48" t="str">
        <f t="shared" si="134"/>
        <v/>
      </c>
      <c r="AU190" s="641"/>
      <c r="AV190" s="1489" t="str">
        <f>IF(K190&lt;&gt;"","V列に色付け","")</f>
        <v/>
      </c>
      <c r="AW190" s="642" t="str">
        <f>IF('別紙様式2-2（４・５月分）'!O146="","",'別紙様式2-2（４・５月分）'!O146)</f>
        <v/>
      </c>
      <c r="AX190" s="1503">
        <f>SUM('別紙様式2-2（４・５月分）'!P146:P148)</f>
        <v>0</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5"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1"/>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35"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IFERROR(IF(AND(OR(N190="",N191="",N193=""),U190=""),0,ROUNDDOWN(ROUNDDOWN(ROUND(L190*VLOOKUP(K190,【参考】数式用!$A$5:$AB$27,MATCH("新加算Ⅳ",【参考】数式用!$B$4:$AB$4,0)+1,0),0)*M190,0)*AG192*0.5,0)),"")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1"/>
      <c r="AV192" s="1489" t="str">
        <f>IF(K190&lt;&gt;"","V列に色付け","")</f>
        <v/>
      </c>
      <c r="AW192" s="1514"/>
      <c r="AX192" s="1503"/>
      <c r="AY192"/>
      <c r="AZ192"/>
      <c r="BA192"/>
      <c r="BB192"/>
      <c r="BC192"/>
      <c r="BD192"/>
      <c r="BE192"/>
      <c r="BF192"/>
      <c r="BG192"/>
      <c r="BH192"/>
      <c r="BI192"/>
      <c r="BJ192"/>
      <c r="BK192"/>
      <c r="BL192" s="535" t="str">
        <f>G190</f>
        <v/>
      </c>
    </row>
    <row r="193" spans="1:64" ht="30" customHeight="1" thickBot="1">
      <c r="A193" s="1224"/>
      <c r="B193" s="1373"/>
      <c r="C193" s="1374"/>
      <c r="D193" s="1374"/>
      <c r="E193" s="1374"/>
      <c r="F193" s="1375"/>
      <c r="G193" s="1264"/>
      <c r="H193" s="1264"/>
      <c r="I193" s="1264"/>
      <c r="J193" s="1370"/>
      <c r="K193" s="1264"/>
      <c r="L193" s="1245"/>
      <c r="M193" s="1248"/>
      <c r="N193" s="640"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9"/>
      <c r="AW193" s="642" t="str">
        <f>IF('別紙様式2-2（４・５月分）'!O148="","",'別紙様式2-2（４・５月分）'!O148)</f>
        <v/>
      </c>
      <c r="AX193" s="1503"/>
      <c r="AY193"/>
      <c r="AZ193"/>
      <c r="BA193"/>
      <c r="BB193"/>
      <c r="BC193"/>
      <c r="BD193"/>
      <c r="BE193"/>
      <c r="BF193"/>
      <c r="BG193"/>
      <c r="BH193"/>
      <c r="BI193"/>
      <c r="BJ193"/>
      <c r="BK193"/>
      <c r="BL193" s="535"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IFERROR(IF(AND(OR(N194="",N195="",N197=""),U194=""),0,ROUNDDOWN(ROUNDDOWN(ROUND(L194*VLOOKUP(K194,【参考】数式用!$A$5:$AB$27,MATCH("新加算Ⅳ",【参考】数式用!$B$4:$AB$4,0)+1,0),0)*M194,0)*AG194*0.5,0)),"")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48" t="str">
        <f t="shared" si="134"/>
        <v/>
      </c>
      <c r="AU194" s="641"/>
      <c r="AV194" s="1489" t="str">
        <f>IF(K194&lt;&gt;"","V列に色付け","")</f>
        <v/>
      </c>
      <c r="AW194" s="642" t="str">
        <f>IF('別紙様式2-2（４・５月分）'!O149="","",'別紙様式2-2（４・５月分）'!O149)</f>
        <v/>
      </c>
      <c r="AX194" s="1503">
        <f>SUM('別紙様式2-2（４・５月分）'!P149:P151)</f>
        <v>0</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5"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1"/>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35"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IFERROR(IF(AND(OR(N194="",N195="",N197=""),U194=""),0,ROUNDDOWN(ROUNDDOWN(ROUND(L194*VLOOKUP(K194,【参考】数式用!$A$5:$AB$27,MATCH("新加算Ⅳ",【参考】数式用!$B$4:$AB$4,0)+1,0),0)*M194,0)*AG196*0.5,0)),"")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1"/>
      <c r="AV196" s="1489" t="str">
        <f>IF(K194&lt;&gt;"","V列に色付け","")</f>
        <v/>
      </c>
      <c r="AW196" s="1514"/>
      <c r="AX196" s="1503"/>
      <c r="AY196"/>
      <c r="AZ196"/>
      <c r="BA196"/>
      <c r="BB196"/>
      <c r="BC196"/>
      <c r="BD196"/>
      <c r="BE196"/>
      <c r="BF196"/>
      <c r="BG196"/>
      <c r="BH196"/>
      <c r="BI196"/>
      <c r="BJ196"/>
      <c r="BK196"/>
      <c r="BL196" s="535" t="str">
        <f>G194</f>
        <v/>
      </c>
    </row>
    <row r="197" spans="1:64" ht="30" customHeight="1" thickBot="1">
      <c r="A197" s="1224"/>
      <c r="B197" s="1373"/>
      <c r="C197" s="1374"/>
      <c r="D197" s="1374"/>
      <c r="E197" s="1374"/>
      <c r="F197" s="1375"/>
      <c r="G197" s="1264"/>
      <c r="H197" s="1264"/>
      <c r="I197" s="1264"/>
      <c r="J197" s="1370"/>
      <c r="K197" s="1264"/>
      <c r="L197" s="1245"/>
      <c r="M197" s="1372"/>
      <c r="N197" s="640"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9"/>
      <c r="AW197" s="642" t="str">
        <f>IF('別紙様式2-2（４・５月分）'!O151="","",'別紙様式2-2（４・５月分）'!O151)</f>
        <v/>
      </c>
      <c r="AX197" s="1503"/>
      <c r="AY197"/>
      <c r="AZ197"/>
      <c r="BA197"/>
      <c r="BB197"/>
      <c r="BC197"/>
      <c r="BD197"/>
      <c r="BE197"/>
      <c r="BF197"/>
      <c r="BG197"/>
      <c r="BH197"/>
      <c r="BI197"/>
      <c r="BJ197"/>
      <c r="BK197"/>
      <c r="BL197" s="535"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IFERROR(IF(AND(OR(N198="",N199="",N201=""),U198=""),0,ROUNDDOWN(ROUNDDOWN(ROUND(L198*VLOOKUP(K198,【参考】数式用!$A$5:$AB$27,MATCH("新加算Ⅳ",【参考】数式用!$B$4:$AB$4,0)+1,0),0)*M198,0)*AG198*0.5,0)),"")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48" t="str">
        <f t="shared" si="134"/>
        <v/>
      </c>
      <c r="AU198" s="641"/>
      <c r="AV198" s="1489" t="str">
        <f>IF(K198&lt;&gt;"","V列に色付け","")</f>
        <v/>
      </c>
      <c r="AW198" s="642" t="str">
        <f>IF('別紙様式2-2（４・５月分）'!O152="","",'別紙様式2-2（４・５月分）'!O152)</f>
        <v/>
      </c>
      <c r="AX198" s="1503">
        <f>SUM('別紙様式2-2（４・５月分）'!P152:P154)</f>
        <v>0</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5"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1"/>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35"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IFERROR(IF(AND(OR(N198="",N199="",N201=""),U198=""),0,ROUNDDOWN(ROUNDDOWN(ROUND(L198*VLOOKUP(K198,【参考】数式用!$A$5:$AB$27,MATCH("新加算Ⅳ",【参考】数式用!$B$4:$AB$4,0)+1,0),0)*M198,0)*AG200*0.5,0)),"")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1"/>
      <c r="AV200" s="1489" t="str">
        <f>IF(K198&lt;&gt;"","V列に色付け","")</f>
        <v/>
      </c>
      <c r="AW200" s="1514"/>
      <c r="AX200" s="1503"/>
      <c r="AY200"/>
      <c r="AZ200"/>
      <c r="BA200"/>
      <c r="BB200"/>
      <c r="BC200"/>
      <c r="BD200"/>
      <c r="BE200"/>
      <c r="BF200"/>
      <c r="BG200"/>
      <c r="BH200"/>
      <c r="BI200"/>
      <c r="BJ200"/>
      <c r="BK200"/>
      <c r="BL200" s="535" t="str">
        <f>G198</f>
        <v/>
      </c>
    </row>
    <row r="201" spans="1:64" ht="30" customHeight="1" thickBot="1">
      <c r="A201" s="1224"/>
      <c r="B201" s="1373"/>
      <c r="C201" s="1374"/>
      <c r="D201" s="1374"/>
      <c r="E201" s="1374"/>
      <c r="F201" s="1375"/>
      <c r="G201" s="1264"/>
      <c r="H201" s="1264"/>
      <c r="I201" s="1264"/>
      <c r="J201" s="1370"/>
      <c r="K201" s="1264"/>
      <c r="L201" s="1245"/>
      <c r="M201" s="1248"/>
      <c r="N201" s="640"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9"/>
      <c r="AW201" s="642" t="str">
        <f>IF('別紙様式2-2（４・５月分）'!O154="","",'別紙様式2-2（４・５月分）'!O154)</f>
        <v/>
      </c>
      <c r="AX201" s="1503"/>
      <c r="AY201"/>
      <c r="AZ201"/>
      <c r="BA201"/>
      <c r="BB201"/>
      <c r="BC201"/>
      <c r="BD201"/>
      <c r="BE201"/>
      <c r="BF201"/>
      <c r="BG201"/>
      <c r="BH201"/>
      <c r="BI201"/>
      <c r="BJ201"/>
      <c r="BK201"/>
      <c r="BL201" s="535"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IFERROR(IF(AND(OR(N202="",N203="",N205=""),U202=""),0,ROUNDDOWN(ROUNDDOWN(ROUND(L202*VLOOKUP(K202,【参考】数式用!$A$5:$AB$27,MATCH("新加算Ⅳ",【参考】数式用!$B$4:$AB$4,0)+1,0),0)*M202,0)*AG202*0.5,0)),"")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48" t="str">
        <f t="shared" si="134"/>
        <v/>
      </c>
      <c r="AU202" s="641"/>
      <c r="AV202" s="1489" t="str">
        <f>IF(K202&lt;&gt;"","V列に色付け","")</f>
        <v/>
      </c>
      <c r="AW202" s="642" t="str">
        <f>IF('別紙様式2-2（４・５月分）'!O155="","",'別紙様式2-2（４・５月分）'!O155)</f>
        <v/>
      </c>
      <c r="AX202" s="1503">
        <f>SUM('別紙様式2-2（４・５月分）'!P155:P157)</f>
        <v>0</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5"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1"/>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35"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IFERROR(IF(AND(OR(N202="",N203="",N205=""),U202=""),0,ROUNDDOWN(ROUNDDOWN(ROUND(L202*VLOOKUP(K202,【参考】数式用!$A$5:$AB$27,MATCH("新加算Ⅳ",【参考】数式用!$B$4:$AB$4,0)+1,0),0)*M202,0)*AG204*0.5,0)),"")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1"/>
      <c r="AV204" s="1489" t="str">
        <f>IF(K202&lt;&gt;"","V列に色付け","")</f>
        <v/>
      </c>
      <c r="AW204" s="1514"/>
      <c r="AX204" s="1503"/>
      <c r="AY204"/>
      <c r="AZ204"/>
      <c r="BA204"/>
      <c r="BB204"/>
      <c r="BC204"/>
      <c r="BD204"/>
      <c r="BE204"/>
      <c r="BF204"/>
      <c r="BG204"/>
      <c r="BH204"/>
      <c r="BI204"/>
      <c r="BJ204"/>
      <c r="BK204"/>
      <c r="BL204" s="535" t="str">
        <f>G202</f>
        <v/>
      </c>
    </row>
    <row r="205" spans="1:64" ht="30" customHeight="1" thickBot="1">
      <c r="A205" s="1224"/>
      <c r="B205" s="1373"/>
      <c r="C205" s="1374"/>
      <c r="D205" s="1374"/>
      <c r="E205" s="1374"/>
      <c r="F205" s="1375"/>
      <c r="G205" s="1264"/>
      <c r="H205" s="1264"/>
      <c r="I205" s="1264"/>
      <c r="J205" s="1370"/>
      <c r="K205" s="1264"/>
      <c r="L205" s="1245"/>
      <c r="M205" s="1372"/>
      <c r="N205" s="640"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9"/>
      <c r="AW205" s="642" t="str">
        <f>IF('別紙様式2-2（４・５月分）'!O157="","",'別紙様式2-2（４・５月分）'!O157)</f>
        <v/>
      </c>
      <c r="AX205" s="1503"/>
      <c r="AY205"/>
      <c r="AZ205"/>
      <c r="BA205"/>
      <c r="BB205"/>
      <c r="BC205"/>
      <c r="BD205"/>
      <c r="BE205"/>
      <c r="BF205"/>
      <c r="BG205"/>
      <c r="BH205"/>
      <c r="BI205"/>
      <c r="BJ205"/>
      <c r="BK205"/>
      <c r="BL205" s="535"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IFERROR(IF(AND(OR(N206="",N207="",N209=""),U206=""),0,ROUNDDOWN(ROUNDDOWN(ROUND(L206*VLOOKUP(K206,【参考】数式用!$A$5:$AB$27,MATCH("新加算Ⅳ",【参考】数式用!$B$4:$AB$4,0)+1,0),0)*M206,0)*AG206*0.5,0)),"")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48" t="str">
        <f t="shared" si="134"/>
        <v/>
      </c>
      <c r="AU206" s="641"/>
      <c r="AV206" s="1489" t="str">
        <f>IF(K206&lt;&gt;"","V列に色付け","")</f>
        <v/>
      </c>
      <c r="AW206" s="642" t="str">
        <f>IF('別紙様式2-2（４・５月分）'!O158="","",'別紙様式2-2（４・５月分）'!O158)</f>
        <v/>
      </c>
      <c r="AX206" s="1503">
        <f>SUM('別紙様式2-2（４・５月分）'!P158:P160)</f>
        <v>0</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5"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1"/>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35"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IFERROR(IF(AND(OR(N206="",N207="",N209=""),U206=""),0,ROUNDDOWN(ROUNDDOWN(ROUND(L206*VLOOKUP(K206,【参考】数式用!$A$5:$AB$27,MATCH("新加算Ⅳ",【参考】数式用!$B$4:$AB$4,0)+1,0),0)*M206,0)*AG208*0.5,0)),"")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1"/>
      <c r="AV208" s="1489" t="str">
        <f>IF(K206&lt;&gt;"","V列に色付け","")</f>
        <v/>
      </c>
      <c r="AW208" s="1514"/>
      <c r="AX208" s="1503"/>
      <c r="AY208"/>
      <c r="AZ208"/>
      <c r="BA208"/>
      <c r="BB208"/>
      <c r="BC208"/>
      <c r="BD208"/>
      <c r="BE208"/>
      <c r="BF208"/>
      <c r="BG208"/>
      <c r="BH208"/>
      <c r="BI208"/>
      <c r="BJ208"/>
      <c r="BK208"/>
      <c r="BL208" s="535" t="str">
        <f>G206</f>
        <v/>
      </c>
    </row>
    <row r="209" spans="1:64" ht="30" customHeight="1" thickBot="1">
      <c r="A209" s="1224"/>
      <c r="B209" s="1373"/>
      <c r="C209" s="1374"/>
      <c r="D209" s="1374"/>
      <c r="E209" s="1374"/>
      <c r="F209" s="1375"/>
      <c r="G209" s="1264"/>
      <c r="H209" s="1264"/>
      <c r="I209" s="1264"/>
      <c r="J209" s="1370"/>
      <c r="K209" s="1264"/>
      <c r="L209" s="1245"/>
      <c r="M209" s="1248"/>
      <c r="N209" s="640"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9"/>
      <c r="AW209" s="642" t="str">
        <f>IF('別紙様式2-2（４・５月分）'!O160="","",'別紙様式2-2（４・５月分）'!O160)</f>
        <v/>
      </c>
      <c r="AX209" s="1503"/>
      <c r="AY209"/>
      <c r="AZ209"/>
      <c r="BA209"/>
      <c r="BB209"/>
      <c r="BC209"/>
      <c r="BD209"/>
      <c r="BE209"/>
      <c r="BF209"/>
      <c r="BG209"/>
      <c r="BH209"/>
      <c r="BI209"/>
      <c r="BJ209"/>
      <c r="BK209"/>
      <c r="BL209" s="535"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IFERROR(IF(AND(OR(N210="",N211="",N213=""),U210=""),0,ROUNDDOWN(ROUNDDOWN(ROUND(L210*VLOOKUP(K210,【参考】数式用!$A$5:$AB$27,MATCH("新加算Ⅳ",【参考】数式用!$B$4:$AB$4,0)+1,0),0)*M210,0)*AG210*0.5,0)),"")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48" t="str">
        <f t="shared" ref="AT210:AT270" si="201">IF(AV210="","",IF(V210&lt;O210,"！加算の要件上は問題ありませんが、令和６年４・５月と比較して令和６年６月に加算率が下がる計画になっています。",""))</f>
        <v/>
      </c>
      <c r="AU210" s="641"/>
      <c r="AV210" s="1489" t="str">
        <f>IF(K210&lt;&gt;"","V列に色付け","")</f>
        <v/>
      </c>
      <c r="AW210" s="642" t="str">
        <f>IF('別紙様式2-2（４・５月分）'!O161="","",'別紙様式2-2（４・５月分）'!O161)</f>
        <v/>
      </c>
      <c r="AX210" s="1503">
        <f>SUM('別紙様式2-2（４・５月分）'!P161:P163)</f>
        <v>0</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5"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35"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IFERROR(IF(AND(OR(N210="",N211="",N213=""),U210=""),0,ROUNDDOWN(ROUNDDOWN(ROUND(L210*VLOOKUP(K210,【参考】数式用!$A$5:$AB$27,MATCH("新加算Ⅳ",【参考】数式用!$B$4:$AB$4,0)+1,0),0)*M210,0)*AG212*0.5,0)),"")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1"/>
      <c r="AV212" s="1489" t="str">
        <f>IF(K210&lt;&gt;"","V列に色付け","")</f>
        <v/>
      </c>
      <c r="AW212" s="1514"/>
      <c r="AX212" s="1503"/>
      <c r="AY212"/>
      <c r="AZ212"/>
      <c r="BA212"/>
      <c r="BB212"/>
      <c r="BC212"/>
      <c r="BD212"/>
      <c r="BE212"/>
      <c r="BF212"/>
      <c r="BG212"/>
      <c r="BH212"/>
      <c r="BI212"/>
      <c r="BJ212"/>
      <c r="BK212"/>
      <c r="BL212" s="535" t="str">
        <f>G210</f>
        <v/>
      </c>
    </row>
    <row r="213" spans="1:64" ht="30" customHeight="1" thickBot="1">
      <c r="A213" s="1224"/>
      <c r="B213" s="1373"/>
      <c r="C213" s="1374"/>
      <c r="D213" s="1374"/>
      <c r="E213" s="1374"/>
      <c r="F213" s="1375"/>
      <c r="G213" s="1264"/>
      <c r="H213" s="1264"/>
      <c r="I213" s="1264"/>
      <c r="J213" s="1370"/>
      <c r="K213" s="1264"/>
      <c r="L213" s="1245"/>
      <c r="M213" s="1372"/>
      <c r="N213" s="640"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9"/>
      <c r="AW213" s="642" t="str">
        <f>IF('別紙様式2-2（４・５月分）'!O163="","",'別紙様式2-2（４・５月分）'!O163)</f>
        <v/>
      </c>
      <c r="AX213" s="1503"/>
      <c r="AY213"/>
      <c r="AZ213"/>
      <c r="BA213"/>
      <c r="BB213"/>
      <c r="BC213"/>
      <c r="BD213"/>
      <c r="BE213"/>
      <c r="BF213"/>
      <c r="BG213"/>
      <c r="BH213"/>
      <c r="BI213"/>
      <c r="BJ213"/>
      <c r="BK213"/>
      <c r="BL213" s="535"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IFERROR(IF(AND(OR(N214="",N215="",N217=""),U214=""),0,ROUNDDOWN(ROUNDDOWN(ROUND(L214*VLOOKUP(K214,【参考】数式用!$A$5:$AB$27,MATCH("新加算Ⅳ",【参考】数式用!$B$4:$AB$4,0)+1,0),0)*M214,0)*AG214*0.5,0)),"")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48" t="str">
        <f t="shared" si="201"/>
        <v/>
      </c>
      <c r="AU214" s="641"/>
      <c r="AV214" s="1489" t="str">
        <f>IF(K214&lt;&gt;"","V列に色付け","")</f>
        <v/>
      </c>
      <c r="AW214" s="642" t="str">
        <f>IF('別紙様式2-2（４・５月分）'!O164="","",'別紙様式2-2（４・５月分）'!O164)</f>
        <v/>
      </c>
      <c r="AX214" s="1503">
        <f>SUM('別紙様式2-2（４・５月分）'!P164:P166)</f>
        <v>0</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5"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1"/>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35"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IFERROR(IF(AND(OR(N214="",N215="",N217=""),U214=""),0,ROUNDDOWN(ROUNDDOWN(ROUND(L214*VLOOKUP(K214,【参考】数式用!$A$5:$AB$27,MATCH("新加算Ⅳ",【参考】数式用!$B$4:$AB$4,0)+1,0),0)*M214,0)*AG216*0.5,0)),"")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1"/>
      <c r="AV216" s="1489" t="str">
        <f>IF(K214&lt;&gt;"","V列に色付け","")</f>
        <v/>
      </c>
      <c r="AW216" s="1514"/>
      <c r="AX216" s="1503"/>
      <c r="AY216"/>
      <c r="AZ216"/>
      <c r="BA216"/>
      <c r="BB216"/>
      <c r="BC216"/>
      <c r="BD216"/>
      <c r="BE216"/>
      <c r="BF216"/>
      <c r="BG216"/>
      <c r="BH216"/>
      <c r="BI216"/>
      <c r="BJ216"/>
      <c r="BK216"/>
      <c r="BL216" s="535" t="str">
        <f>G214</f>
        <v/>
      </c>
    </row>
    <row r="217" spans="1:64" ht="30" customHeight="1" thickBot="1">
      <c r="A217" s="1224"/>
      <c r="B217" s="1373"/>
      <c r="C217" s="1374"/>
      <c r="D217" s="1374"/>
      <c r="E217" s="1374"/>
      <c r="F217" s="1375"/>
      <c r="G217" s="1264"/>
      <c r="H217" s="1264"/>
      <c r="I217" s="1264"/>
      <c r="J217" s="1370"/>
      <c r="K217" s="1264"/>
      <c r="L217" s="1245"/>
      <c r="M217" s="1248"/>
      <c r="N217" s="640"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9"/>
      <c r="AW217" s="642" t="str">
        <f>IF('別紙様式2-2（４・５月分）'!O166="","",'別紙様式2-2（４・５月分）'!O166)</f>
        <v/>
      </c>
      <c r="AX217" s="1503"/>
      <c r="AY217"/>
      <c r="AZ217"/>
      <c r="BA217"/>
      <c r="BB217"/>
      <c r="BC217"/>
      <c r="BD217"/>
      <c r="BE217"/>
      <c r="BF217"/>
      <c r="BG217"/>
      <c r="BH217"/>
      <c r="BI217"/>
      <c r="BJ217"/>
      <c r="BK217"/>
      <c r="BL217" s="535"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IFERROR(IF(AND(OR(N218="",N219="",N221=""),U218=""),0,ROUNDDOWN(ROUNDDOWN(ROUND(L218*VLOOKUP(K218,【参考】数式用!$A$5:$AB$27,MATCH("新加算Ⅳ",【参考】数式用!$B$4:$AB$4,0)+1,0),0)*M218,0)*AG218*0.5,0)),"")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48" t="str">
        <f t="shared" si="201"/>
        <v/>
      </c>
      <c r="AU218" s="641"/>
      <c r="AV218" s="1489" t="str">
        <f>IF(K218&lt;&gt;"","V列に色付け","")</f>
        <v/>
      </c>
      <c r="AW218" s="642" t="str">
        <f>IF('別紙様式2-2（４・５月分）'!O167="","",'別紙様式2-2（４・５月分）'!O167)</f>
        <v/>
      </c>
      <c r="AX218" s="1503">
        <f>SUM('別紙様式2-2（４・５月分）'!P167:P169)</f>
        <v>0</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5"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1"/>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35"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IFERROR(IF(AND(OR(N218="",N219="",N221=""),U218=""),0,ROUNDDOWN(ROUNDDOWN(ROUND(L218*VLOOKUP(K218,【参考】数式用!$A$5:$AB$27,MATCH("新加算Ⅳ",【参考】数式用!$B$4:$AB$4,0)+1,0),0)*M218,0)*AG220*0.5,0)),"")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1"/>
      <c r="AV220" s="1489" t="str">
        <f>IF(K218&lt;&gt;"","V列に色付け","")</f>
        <v/>
      </c>
      <c r="AW220" s="1514"/>
      <c r="AX220" s="1503"/>
      <c r="AY220"/>
      <c r="AZ220"/>
      <c r="BA220"/>
      <c r="BB220"/>
      <c r="BC220"/>
      <c r="BD220"/>
      <c r="BE220"/>
      <c r="BF220"/>
      <c r="BG220"/>
      <c r="BH220"/>
      <c r="BI220"/>
      <c r="BJ220"/>
      <c r="BK220"/>
      <c r="BL220" s="535" t="str">
        <f>G218</f>
        <v/>
      </c>
    </row>
    <row r="221" spans="1:64" ht="30" customHeight="1" thickBot="1">
      <c r="A221" s="1224"/>
      <c r="B221" s="1373"/>
      <c r="C221" s="1374"/>
      <c r="D221" s="1374"/>
      <c r="E221" s="1374"/>
      <c r="F221" s="1375"/>
      <c r="G221" s="1264"/>
      <c r="H221" s="1264"/>
      <c r="I221" s="1264"/>
      <c r="J221" s="1370"/>
      <c r="K221" s="1264"/>
      <c r="L221" s="1245"/>
      <c r="M221" s="1372"/>
      <c r="N221" s="640"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9"/>
      <c r="AW221" s="642" t="str">
        <f>IF('別紙様式2-2（４・５月分）'!O169="","",'別紙様式2-2（４・５月分）'!O169)</f>
        <v/>
      </c>
      <c r="AX221" s="1503"/>
      <c r="AY221"/>
      <c r="AZ221"/>
      <c r="BA221"/>
      <c r="BB221"/>
      <c r="BC221"/>
      <c r="BD221"/>
      <c r="BE221"/>
      <c r="BF221"/>
      <c r="BG221"/>
      <c r="BH221"/>
      <c r="BI221"/>
      <c r="BJ221"/>
      <c r="BK221"/>
      <c r="BL221" s="535"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IFERROR(IF(AND(OR(N222="",N223="",N225=""),U222=""),0,ROUNDDOWN(ROUNDDOWN(ROUND(L222*VLOOKUP(K222,【参考】数式用!$A$5:$AB$27,MATCH("新加算Ⅳ",【参考】数式用!$B$4:$AB$4,0)+1,0),0)*M222,0)*AG222*0.5,0)),"")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48" t="str">
        <f t="shared" si="201"/>
        <v/>
      </c>
      <c r="AU222" s="641"/>
      <c r="AV222" s="1489" t="str">
        <f>IF(K222&lt;&gt;"","V列に色付け","")</f>
        <v/>
      </c>
      <c r="AW222" s="642" t="str">
        <f>IF('別紙様式2-2（４・５月分）'!O170="","",'別紙様式2-2（４・５月分）'!O170)</f>
        <v/>
      </c>
      <c r="AX222" s="1503">
        <f>SUM('別紙様式2-2（４・５月分）'!P170:P172)</f>
        <v>0</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5"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1"/>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35"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IFERROR(IF(AND(OR(N222="",N223="",N225=""),U222=""),0,ROUNDDOWN(ROUNDDOWN(ROUND(L222*VLOOKUP(K222,【参考】数式用!$A$5:$AB$27,MATCH("新加算Ⅳ",【参考】数式用!$B$4:$AB$4,0)+1,0),0)*M222,0)*AG224*0.5,0)),"")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1"/>
      <c r="AV224" s="1489" t="str">
        <f>IF(K222&lt;&gt;"","V列に色付け","")</f>
        <v/>
      </c>
      <c r="AW224" s="1514"/>
      <c r="AX224" s="1503"/>
      <c r="AY224"/>
      <c r="AZ224"/>
      <c r="BA224"/>
      <c r="BB224"/>
      <c r="BC224"/>
      <c r="BD224"/>
      <c r="BE224"/>
      <c r="BF224"/>
      <c r="BG224"/>
      <c r="BH224"/>
      <c r="BI224"/>
      <c r="BJ224"/>
      <c r="BK224"/>
      <c r="BL224" s="535" t="str">
        <f>G222</f>
        <v/>
      </c>
    </row>
    <row r="225" spans="1:64" ht="30" customHeight="1" thickBot="1">
      <c r="A225" s="1224"/>
      <c r="B225" s="1373"/>
      <c r="C225" s="1374"/>
      <c r="D225" s="1374"/>
      <c r="E225" s="1374"/>
      <c r="F225" s="1375"/>
      <c r="G225" s="1264"/>
      <c r="H225" s="1264"/>
      <c r="I225" s="1264"/>
      <c r="J225" s="1370"/>
      <c r="K225" s="1264"/>
      <c r="L225" s="1245"/>
      <c r="M225" s="1248"/>
      <c r="N225" s="640"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9"/>
      <c r="AW225" s="642" t="str">
        <f>IF('別紙様式2-2（４・５月分）'!O172="","",'別紙様式2-2（４・５月分）'!O172)</f>
        <v/>
      </c>
      <c r="AX225" s="1503"/>
      <c r="AY225"/>
      <c r="AZ225"/>
      <c r="BA225"/>
      <c r="BB225"/>
      <c r="BC225"/>
      <c r="BD225"/>
      <c r="BE225"/>
      <c r="BF225"/>
      <c r="BG225"/>
      <c r="BH225"/>
      <c r="BI225"/>
      <c r="BJ225"/>
      <c r="BK225"/>
      <c r="BL225" s="535"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IFERROR(IF(AND(OR(N226="",N227="",N229=""),U226=""),0,ROUNDDOWN(ROUNDDOWN(ROUND(L226*VLOOKUP(K226,【参考】数式用!$A$5:$AB$27,MATCH("新加算Ⅳ",【参考】数式用!$B$4:$AB$4,0)+1,0),0)*M226,0)*AG226*0.5,0)),"")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48" t="str">
        <f t="shared" si="201"/>
        <v/>
      </c>
      <c r="AU226" s="641"/>
      <c r="AV226" s="1489" t="str">
        <f>IF(K226&lt;&gt;"","V列に色付け","")</f>
        <v/>
      </c>
      <c r="AW226" s="642" t="str">
        <f>IF('別紙様式2-2（４・５月分）'!O173="","",'別紙様式2-2（４・５月分）'!O173)</f>
        <v/>
      </c>
      <c r="AX226" s="1503">
        <f>SUM('別紙様式2-2（４・５月分）'!P173:P175)</f>
        <v>0</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5"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1"/>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35"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IFERROR(IF(AND(OR(N226="",N227="",N229=""),U226=""),0,ROUNDDOWN(ROUNDDOWN(ROUND(L226*VLOOKUP(K226,【参考】数式用!$A$5:$AB$27,MATCH("新加算Ⅳ",【参考】数式用!$B$4:$AB$4,0)+1,0),0)*M226,0)*AG228*0.5,0)),"")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1"/>
      <c r="AV228" s="1489" t="str">
        <f>IF(K226&lt;&gt;"","V列に色付け","")</f>
        <v/>
      </c>
      <c r="AW228" s="1514"/>
      <c r="AX228" s="1503"/>
      <c r="AY228"/>
      <c r="AZ228"/>
      <c r="BA228"/>
      <c r="BB228"/>
      <c r="BC228"/>
      <c r="BD228"/>
      <c r="BE228"/>
      <c r="BF228"/>
      <c r="BG228"/>
      <c r="BH228"/>
      <c r="BI228"/>
      <c r="BJ228"/>
      <c r="BK228"/>
      <c r="BL228" s="535" t="str">
        <f>G226</f>
        <v/>
      </c>
    </row>
    <row r="229" spans="1:64" ht="30" customHeight="1" thickBot="1">
      <c r="A229" s="1224"/>
      <c r="B229" s="1373"/>
      <c r="C229" s="1374"/>
      <c r="D229" s="1374"/>
      <c r="E229" s="1374"/>
      <c r="F229" s="1375"/>
      <c r="G229" s="1264"/>
      <c r="H229" s="1264"/>
      <c r="I229" s="1264"/>
      <c r="J229" s="1370"/>
      <c r="K229" s="1264"/>
      <c r="L229" s="1245"/>
      <c r="M229" s="1372"/>
      <c r="N229" s="640"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9"/>
      <c r="AW229" s="642" t="str">
        <f>IF('別紙様式2-2（４・５月分）'!O175="","",'別紙様式2-2（４・５月分）'!O175)</f>
        <v/>
      </c>
      <c r="AX229" s="1503"/>
      <c r="AY229"/>
      <c r="AZ229"/>
      <c r="BA229"/>
      <c r="BB229"/>
      <c r="BC229"/>
      <c r="BD229"/>
      <c r="BE229"/>
      <c r="BF229"/>
      <c r="BG229"/>
      <c r="BH229"/>
      <c r="BI229"/>
      <c r="BJ229"/>
      <c r="BK229"/>
      <c r="BL229" s="535"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IFERROR(IF(AND(OR(N230="",N231="",N233=""),U230=""),0,ROUNDDOWN(ROUNDDOWN(ROUND(L230*VLOOKUP(K230,【参考】数式用!$A$5:$AB$27,MATCH("新加算Ⅳ",【参考】数式用!$B$4:$AB$4,0)+1,0),0)*M230,0)*AG230*0.5,0)),"")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48" t="str">
        <f t="shared" si="201"/>
        <v/>
      </c>
      <c r="AU230" s="641"/>
      <c r="AV230" s="1489" t="str">
        <f>IF(K230&lt;&gt;"","V列に色付け","")</f>
        <v/>
      </c>
      <c r="AW230" s="642" t="str">
        <f>IF('別紙様式2-2（４・５月分）'!O176="","",'別紙様式2-2（４・５月分）'!O176)</f>
        <v/>
      </c>
      <c r="AX230" s="1503">
        <f>SUM('別紙様式2-2（４・５月分）'!P176:P178)</f>
        <v>0</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5"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1"/>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35"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IFERROR(IF(AND(OR(N230="",N231="",N233=""),U230=""),0,ROUNDDOWN(ROUNDDOWN(ROUND(L230*VLOOKUP(K230,【参考】数式用!$A$5:$AB$27,MATCH("新加算Ⅳ",【参考】数式用!$B$4:$AB$4,0)+1,0),0)*M230,0)*AG232*0.5,0)),"")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1"/>
      <c r="AV232" s="1489" t="str">
        <f>IF(K230&lt;&gt;"","V列に色付け","")</f>
        <v/>
      </c>
      <c r="AW232" s="1514"/>
      <c r="AX232" s="1503"/>
      <c r="AY232"/>
      <c r="AZ232"/>
      <c r="BA232"/>
      <c r="BB232"/>
      <c r="BC232"/>
      <c r="BD232"/>
      <c r="BE232"/>
      <c r="BF232"/>
      <c r="BG232"/>
      <c r="BH232"/>
      <c r="BI232"/>
      <c r="BJ232"/>
      <c r="BK232"/>
      <c r="BL232" s="535" t="str">
        <f>G230</f>
        <v/>
      </c>
    </row>
    <row r="233" spans="1:64" ht="30" customHeight="1" thickBot="1">
      <c r="A233" s="1224"/>
      <c r="B233" s="1373"/>
      <c r="C233" s="1374"/>
      <c r="D233" s="1374"/>
      <c r="E233" s="1374"/>
      <c r="F233" s="1375"/>
      <c r="G233" s="1264"/>
      <c r="H233" s="1264"/>
      <c r="I233" s="1264"/>
      <c r="J233" s="1370"/>
      <c r="K233" s="1264"/>
      <c r="L233" s="1245"/>
      <c r="M233" s="1248"/>
      <c r="N233" s="640"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9"/>
      <c r="AW233" s="642" t="str">
        <f>IF('別紙様式2-2（４・５月分）'!O178="","",'別紙様式2-2（４・５月分）'!O178)</f>
        <v/>
      </c>
      <c r="AX233" s="1503"/>
      <c r="AY233"/>
      <c r="AZ233"/>
      <c r="BA233"/>
      <c r="BB233"/>
      <c r="BC233"/>
      <c r="BD233"/>
      <c r="BE233"/>
      <c r="BF233"/>
      <c r="BG233"/>
      <c r="BH233"/>
      <c r="BI233"/>
      <c r="BJ233"/>
      <c r="BK233"/>
      <c r="BL233" s="535"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IFERROR(IF(AND(OR(N234="",N235="",N237=""),U234=""),0,ROUNDDOWN(ROUNDDOWN(ROUND(L234*VLOOKUP(K234,【参考】数式用!$A$5:$AB$27,MATCH("新加算Ⅳ",【参考】数式用!$B$4:$AB$4,0)+1,0),0)*M234,0)*AG234*0.5,0)),"")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48" t="str">
        <f t="shared" si="201"/>
        <v/>
      </c>
      <c r="AU234" s="641"/>
      <c r="AV234" s="1489" t="str">
        <f>IF(K234&lt;&gt;"","V列に色付け","")</f>
        <v/>
      </c>
      <c r="AW234" s="642" t="str">
        <f>IF('別紙様式2-2（４・５月分）'!O179="","",'別紙様式2-2（４・５月分）'!O179)</f>
        <v/>
      </c>
      <c r="AX234" s="1503">
        <f>SUM('別紙様式2-2（４・５月分）'!P179:P181)</f>
        <v>0</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5"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1"/>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35"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IFERROR(IF(AND(OR(N234="",N235="",N237=""),U234=""),0,ROUNDDOWN(ROUNDDOWN(ROUND(L234*VLOOKUP(K234,【参考】数式用!$A$5:$AB$27,MATCH("新加算Ⅳ",【参考】数式用!$B$4:$AB$4,0)+1,0),0)*M234,0)*AG236*0.5,0)),"")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1"/>
      <c r="AV236" s="1489" t="str">
        <f>IF(K234&lt;&gt;"","V列に色付け","")</f>
        <v/>
      </c>
      <c r="AW236" s="1514"/>
      <c r="AX236" s="1503"/>
      <c r="AY236"/>
      <c r="AZ236"/>
      <c r="BA236"/>
      <c r="BB236"/>
      <c r="BC236"/>
      <c r="BD236"/>
      <c r="BE236"/>
      <c r="BF236"/>
      <c r="BG236"/>
      <c r="BH236"/>
      <c r="BI236"/>
      <c r="BJ236"/>
      <c r="BK236"/>
      <c r="BL236" s="535" t="str">
        <f>G234</f>
        <v/>
      </c>
    </row>
    <row r="237" spans="1:64" ht="30" customHeight="1" thickBot="1">
      <c r="A237" s="1224"/>
      <c r="B237" s="1373"/>
      <c r="C237" s="1374"/>
      <c r="D237" s="1374"/>
      <c r="E237" s="1374"/>
      <c r="F237" s="1375"/>
      <c r="G237" s="1264"/>
      <c r="H237" s="1264"/>
      <c r="I237" s="1264"/>
      <c r="J237" s="1370"/>
      <c r="K237" s="1264"/>
      <c r="L237" s="1245"/>
      <c r="M237" s="1372"/>
      <c r="N237" s="640"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9"/>
      <c r="AW237" s="642" t="str">
        <f>IF('別紙様式2-2（４・５月分）'!O181="","",'別紙様式2-2（４・５月分）'!O181)</f>
        <v/>
      </c>
      <c r="AX237" s="1503"/>
      <c r="AY237"/>
      <c r="AZ237"/>
      <c r="BA237"/>
      <c r="BB237"/>
      <c r="BC237"/>
      <c r="BD237"/>
      <c r="BE237"/>
      <c r="BF237"/>
      <c r="BG237"/>
      <c r="BH237"/>
      <c r="BI237"/>
      <c r="BJ237"/>
      <c r="BK237"/>
      <c r="BL237" s="535"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IFERROR(IF(AND(OR(N238="",N239="",N241=""),U238=""),0,ROUNDDOWN(ROUNDDOWN(ROUND(L238*VLOOKUP(K238,【参考】数式用!$A$5:$AB$27,MATCH("新加算Ⅳ",【参考】数式用!$B$4:$AB$4,0)+1,0),0)*M238,0)*AG238*0.5,0)),"")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48" t="str">
        <f t="shared" si="201"/>
        <v/>
      </c>
      <c r="AU238" s="641"/>
      <c r="AV238" s="1489" t="str">
        <f>IF(K238&lt;&gt;"","V列に色付け","")</f>
        <v/>
      </c>
      <c r="AW238" s="642" t="str">
        <f>IF('別紙様式2-2（４・５月分）'!O182="","",'別紙様式2-2（４・５月分）'!O182)</f>
        <v/>
      </c>
      <c r="AX238" s="1503">
        <f>SUM('別紙様式2-2（４・５月分）'!P182:P184)</f>
        <v>0</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5"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1"/>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35"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IFERROR(IF(AND(OR(N238="",N239="",N241=""),U238=""),0,ROUNDDOWN(ROUNDDOWN(ROUND(L238*VLOOKUP(K238,【参考】数式用!$A$5:$AB$27,MATCH("新加算Ⅳ",【参考】数式用!$B$4:$AB$4,0)+1,0),0)*M238,0)*AG240*0.5,0)),"")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1"/>
      <c r="AV240" s="1489" t="str">
        <f>IF(K238&lt;&gt;"","V列に色付け","")</f>
        <v/>
      </c>
      <c r="AW240" s="1514"/>
      <c r="AX240" s="1503"/>
      <c r="AY240"/>
      <c r="AZ240"/>
      <c r="BA240"/>
      <c r="BB240"/>
      <c r="BC240"/>
      <c r="BD240"/>
      <c r="BE240"/>
      <c r="BF240"/>
      <c r="BG240"/>
      <c r="BH240"/>
      <c r="BI240"/>
      <c r="BJ240"/>
      <c r="BK240"/>
      <c r="BL240" s="535" t="str">
        <f>G238</f>
        <v/>
      </c>
    </row>
    <row r="241" spans="1:64" ht="30" customHeight="1" thickBot="1">
      <c r="A241" s="1224"/>
      <c r="B241" s="1373"/>
      <c r="C241" s="1374"/>
      <c r="D241" s="1374"/>
      <c r="E241" s="1374"/>
      <c r="F241" s="1375"/>
      <c r="G241" s="1264"/>
      <c r="H241" s="1264"/>
      <c r="I241" s="1264"/>
      <c r="J241" s="1370"/>
      <c r="K241" s="1264"/>
      <c r="L241" s="1245"/>
      <c r="M241" s="1372"/>
      <c r="N241" s="640"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9"/>
      <c r="AW241" s="642" t="str">
        <f>IF('別紙様式2-2（４・５月分）'!O184="","",'別紙様式2-2（４・５月分）'!O184)</f>
        <v/>
      </c>
      <c r="AX241" s="1503"/>
      <c r="AY241"/>
      <c r="AZ241"/>
      <c r="BA241"/>
      <c r="BB241"/>
      <c r="BC241"/>
      <c r="BD241"/>
      <c r="BE241"/>
      <c r="BF241"/>
      <c r="BG241"/>
      <c r="BH241"/>
      <c r="BI241"/>
      <c r="BJ241"/>
      <c r="BK241"/>
      <c r="BL241" s="535"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IFERROR(IF(AND(OR(N242="",N243="",N245=""),U242=""),0,ROUNDDOWN(ROUNDDOWN(ROUND(L242*VLOOKUP(K242,【参考】数式用!$A$5:$AB$27,MATCH("新加算Ⅳ",【参考】数式用!$B$4:$AB$4,0)+1,0),0)*M242,0)*AG242*0.5,0)),"")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48" t="str">
        <f t="shared" si="201"/>
        <v/>
      </c>
      <c r="AU242" s="641"/>
      <c r="AV242" s="1489" t="str">
        <f>IF(K242&lt;&gt;"","V列に色付け","")</f>
        <v/>
      </c>
      <c r="AW242" s="642" t="str">
        <f>IF('別紙様式2-2（４・５月分）'!O185="","",'別紙様式2-2（４・５月分）'!O185)</f>
        <v/>
      </c>
      <c r="AX242" s="1503">
        <f>SUM('別紙様式2-2（４・５月分）'!P185:P187)</f>
        <v>0</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5"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1"/>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35"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IFERROR(IF(AND(OR(N242="",N243="",N245=""),U242=""),0,ROUNDDOWN(ROUNDDOWN(ROUND(L242*VLOOKUP(K242,【参考】数式用!$A$5:$AB$27,MATCH("新加算Ⅳ",【参考】数式用!$B$4:$AB$4,0)+1,0),0)*M242,0)*AG244*0.5,0)),"")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1"/>
      <c r="AV244" s="1489" t="str">
        <f>IF(K242&lt;&gt;"","V列に色付け","")</f>
        <v/>
      </c>
      <c r="AW244" s="1514"/>
      <c r="AX244" s="1503"/>
      <c r="AY244"/>
      <c r="AZ244"/>
      <c r="BA244"/>
      <c r="BB244"/>
      <c r="BC244"/>
      <c r="BD244"/>
      <c r="BE244"/>
      <c r="BF244"/>
      <c r="BG244"/>
      <c r="BH244"/>
      <c r="BI244"/>
      <c r="BJ244"/>
      <c r="BK244"/>
      <c r="BL244" s="535" t="str">
        <f>G242</f>
        <v/>
      </c>
    </row>
    <row r="245" spans="1:64" ht="30" customHeight="1" thickBot="1">
      <c r="A245" s="1224"/>
      <c r="B245" s="1373"/>
      <c r="C245" s="1374"/>
      <c r="D245" s="1374"/>
      <c r="E245" s="1374"/>
      <c r="F245" s="1375"/>
      <c r="G245" s="1264"/>
      <c r="H245" s="1264"/>
      <c r="I245" s="1264"/>
      <c r="J245" s="1370"/>
      <c r="K245" s="1264"/>
      <c r="L245" s="1245"/>
      <c r="M245" s="1248"/>
      <c r="N245" s="640"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9"/>
      <c r="AW245" s="642" t="str">
        <f>IF('別紙様式2-2（４・５月分）'!O187="","",'別紙様式2-2（４・５月分）'!O187)</f>
        <v/>
      </c>
      <c r="AX245" s="1503"/>
      <c r="AY245"/>
      <c r="AZ245"/>
      <c r="BA245"/>
      <c r="BB245"/>
      <c r="BC245"/>
      <c r="BD245"/>
      <c r="BE245"/>
      <c r="BF245"/>
      <c r="BG245"/>
      <c r="BH245"/>
      <c r="BI245"/>
      <c r="BJ245"/>
      <c r="BK245"/>
      <c r="BL245" s="535"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IFERROR(IF(AND(OR(N246="",N247="",N249=""),U246=""),0,ROUNDDOWN(ROUNDDOWN(ROUND(L246*VLOOKUP(K246,【参考】数式用!$A$5:$AB$27,MATCH("新加算Ⅳ",【参考】数式用!$B$4:$AB$4,0)+1,0),0)*M246,0)*AG246*0.5,0)),"")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48" t="str">
        <f t="shared" si="201"/>
        <v/>
      </c>
      <c r="AU246" s="641"/>
      <c r="AV246" s="1489" t="str">
        <f>IF(K246&lt;&gt;"","V列に色付け","")</f>
        <v/>
      </c>
      <c r="AW246" s="642" t="str">
        <f>IF('別紙様式2-2（４・５月分）'!O188="","",'別紙様式2-2（４・５月分）'!O188)</f>
        <v/>
      </c>
      <c r="AX246" s="1503">
        <f>SUM('別紙様式2-2（４・５月分）'!P188:P190)</f>
        <v>0</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5"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1"/>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35"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IFERROR(IF(AND(OR(N246="",N247="",N249=""),U246=""),0,ROUNDDOWN(ROUNDDOWN(ROUND(L246*VLOOKUP(K246,【参考】数式用!$A$5:$AB$27,MATCH("新加算Ⅳ",【参考】数式用!$B$4:$AB$4,0)+1,0),0)*M246,0)*AG248*0.5,0)),"")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1"/>
      <c r="AV248" s="1489" t="str">
        <f>IF(K246&lt;&gt;"","V列に色付け","")</f>
        <v/>
      </c>
      <c r="AW248" s="1514"/>
      <c r="AX248" s="1503"/>
      <c r="AY248"/>
      <c r="AZ248"/>
      <c r="BA248"/>
      <c r="BB248"/>
      <c r="BC248"/>
      <c r="BD248"/>
      <c r="BE248"/>
      <c r="BF248"/>
      <c r="BG248"/>
      <c r="BH248"/>
      <c r="BI248"/>
      <c r="BJ248"/>
      <c r="BK248"/>
      <c r="BL248" s="535" t="str">
        <f>G246</f>
        <v/>
      </c>
    </row>
    <row r="249" spans="1:64" ht="30" customHeight="1" thickBot="1">
      <c r="A249" s="1224"/>
      <c r="B249" s="1373"/>
      <c r="C249" s="1374"/>
      <c r="D249" s="1374"/>
      <c r="E249" s="1374"/>
      <c r="F249" s="1375"/>
      <c r="G249" s="1264"/>
      <c r="H249" s="1264"/>
      <c r="I249" s="1264"/>
      <c r="J249" s="1370"/>
      <c r="K249" s="1264"/>
      <c r="L249" s="1245"/>
      <c r="M249" s="1372"/>
      <c r="N249" s="640"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9"/>
      <c r="AW249" s="642" t="str">
        <f>IF('別紙様式2-2（４・５月分）'!O190="","",'別紙様式2-2（４・５月分）'!O190)</f>
        <v/>
      </c>
      <c r="AX249" s="1503"/>
      <c r="AY249"/>
      <c r="AZ249"/>
      <c r="BA249"/>
      <c r="BB249"/>
      <c r="BC249"/>
      <c r="BD249"/>
      <c r="BE249"/>
      <c r="BF249"/>
      <c r="BG249"/>
      <c r="BH249"/>
      <c r="BI249"/>
      <c r="BJ249"/>
      <c r="BK249"/>
      <c r="BL249" s="535"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IFERROR(IF(AND(OR(N250="",N251="",N253=""),U250=""),0,ROUNDDOWN(ROUNDDOWN(ROUND(L250*VLOOKUP(K250,【参考】数式用!$A$5:$AB$27,MATCH("新加算Ⅳ",【参考】数式用!$B$4:$AB$4,0)+1,0),0)*M250,0)*AG250*0.5,0)),"")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48" t="str">
        <f t="shared" si="201"/>
        <v/>
      </c>
      <c r="AU250" s="641"/>
      <c r="AV250" s="1489" t="str">
        <f>IF(K250&lt;&gt;"","V列に色付け","")</f>
        <v/>
      </c>
      <c r="AW250" s="642" t="str">
        <f>IF('別紙様式2-2（４・５月分）'!O191="","",'別紙様式2-2（４・５月分）'!O191)</f>
        <v/>
      </c>
      <c r="AX250" s="1503">
        <f>SUM('別紙様式2-2（４・５月分）'!P191:P193)</f>
        <v>0</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5"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1"/>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35"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IFERROR(IF(AND(OR(N250="",N251="",N253=""),U250=""),0,ROUNDDOWN(ROUNDDOWN(ROUND(L250*VLOOKUP(K250,【参考】数式用!$A$5:$AB$27,MATCH("新加算Ⅳ",【参考】数式用!$B$4:$AB$4,0)+1,0),0)*M250,0)*AG252*0.5,0)),"")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1"/>
      <c r="AV252" s="1489" t="str">
        <f>IF(K250&lt;&gt;"","V列に色付け","")</f>
        <v/>
      </c>
      <c r="AW252" s="1514"/>
      <c r="AX252" s="1503"/>
      <c r="AY252"/>
      <c r="AZ252"/>
      <c r="BA252"/>
      <c r="BB252"/>
      <c r="BC252"/>
      <c r="BD252"/>
      <c r="BE252"/>
      <c r="BF252"/>
      <c r="BG252"/>
      <c r="BH252"/>
      <c r="BI252"/>
      <c r="BJ252"/>
      <c r="BK252"/>
      <c r="BL252" s="535" t="str">
        <f>G250</f>
        <v/>
      </c>
    </row>
    <row r="253" spans="1:64" ht="30" customHeight="1" thickBot="1">
      <c r="A253" s="1224"/>
      <c r="B253" s="1373"/>
      <c r="C253" s="1374"/>
      <c r="D253" s="1374"/>
      <c r="E253" s="1374"/>
      <c r="F253" s="1375"/>
      <c r="G253" s="1264"/>
      <c r="H253" s="1264"/>
      <c r="I253" s="1264"/>
      <c r="J253" s="1370"/>
      <c r="K253" s="1264"/>
      <c r="L253" s="1245"/>
      <c r="M253" s="1248"/>
      <c r="N253" s="640"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9"/>
      <c r="AW253" s="642" t="str">
        <f>IF('別紙様式2-2（４・５月分）'!O193="","",'別紙様式2-2（４・５月分）'!O193)</f>
        <v/>
      </c>
      <c r="AX253" s="1503"/>
      <c r="AY253"/>
      <c r="AZ253"/>
      <c r="BA253"/>
      <c r="BB253"/>
      <c r="BC253"/>
      <c r="BD253"/>
      <c r="BE253"/>
      <c r="BF253"/>
      <c r="BG253"/>
      <c r="BH253"/>
      <c r="BI253"/>
      <c r="BJ253"/>
      <c r="BK253"/>
      <c r="BL253" s="535"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IFERROR(IF(AND(OR(N254="",N255="",N257=""),U254=""),0,ROUNDDOWN(ROUNDDOWN(ROUND(L254*VLOOKUP(K254,【参考】数式用!$A$5:$AB$27,MATCH("新加算Ⅳ",【参考】数式用!$B$4:$AB$4,0)+1,0),0)*M254,0)*AG254*0.5,0)),"")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48" t="str">
        <f t="shared" si="201"/>
        <v/>
      </c>
      <c r="AU254" s="641"/>
      <c r="AV254" s="1489" t="str">
        <f>IF(K254&lt;&gt;"","V列に色付け","")</f>
        <v/>
      </c>
      <c r="AW254" s="642" t="str">
        <f>IF('別紙様式2-2（４・５月分）'!O194="","",'別紙様式2-2（４・５月分）'!O194)</f>
        <v/>
      </c>
      <c r="AX254" s="1503">
        <f>SUM('別紙様式2-2（４・５月分）'!P194:P196)</f>
        <v>0</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5"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1"/>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35"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IFERROR(IF(AND(OR(N254="",N255="",N257=""),U254=""),0,ROUNDDOWN(ROUNDDOWN(ROUND(L254*VLOOKUP(K254,【参考】数式用!$A$5:$AB$27,MATCH("新加算Ⅳ",【参考】数式用!$B$4:$AB$4,0)+1,0),0)*M254,0)*AG256*0.5,0)),"")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1"/>
      <c r="AV256" s="1489" t="str">
        <f>IF(K254&lt;&gt;"","V列に色付け","")</f>
        <v/>
      </c>
      <c r="AW256" s="1514"/>
      <c r="AX256" s="1503"/>
      <c r="AY256"/>
      <c r="AZ256"/>
      <c r="BA256"/>
      <c r="BB256"/>
      <c r="BC256"/>
      <c r="BD256"/>
      <c r="BE256"/>
      <c r="BF256"/>
      <c r="BG256"/>
      <c r="BH256"/>
      <c r="BI256"/>
      <c r="BJ256"/>
      <c r="BK256"/>
      <c r="BL256" s="535" t="str">
        <f>G254</f>
        <v/>
      </c>
    </row>
    <row r="257" spans="1:64" ht="30" customHeight="1" thickBot="1">
      <c r="A257" s="1224"/>
      <c r="B257" s="1373"/>
      <c r="C257" s="1374"/>
      <c r="D257" s="1374"/>
      <c r="E257" s="1374"/>
      <c r="F257" s="1375"/>
      <c r="G257" s="1264"/>
      <c r="H257" s="1264"/>
      <c r="I257" s="1264"/>
      <c r="J257" s="1370"/>
      <c r="K257" s="1264"/>
      <c r="L257" s="1245"/>
      <c r="M257" s="1372"/>
      <c r="N257" s="640"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9"/>
      <c r="AW257" s="642" t="str">
        <f>IF('別紙様式2-2（４・５月分）'!O196="","",'別紙様式2-2（４・５月分）'!O196)</f>
        <v/>
      </c>
      <c r="AX257" s="1503"/>
      <c r="AY257"/>
      <c r="AZ257"/>
      <c r="BA257"/>
      <c r="BB257"/>
      <c r="BC257"/>
      <c r="BD257"/>
      <c r="BE257"/>
      <c r="BF257"/>
      <c r="BG257"/>
      <c r="BH257"/>
      <c r="BI257"/>
      <c r="BJ257"/>
      <c r="BK257"/>
      <c r="BL257" s="535"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IFERROR(IF(AND(OR(N258="",N259="",N261=""),U258=""),0,ROUNDDOWN(ROUNDDOWN(ROUND(L258*VLOOKUP(K258,【参考】数式用!$A$5:$AB$27,MATCH("新加算Ⅳ",【参考】数式用!$B$4:$AB$4,0)+1,0),0)*M258,0)*AG258*0.5,0)),"")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48" t="str">
        <f t="shared" si="201"/>
        <v/>
      </c>
      <c r="AU258" s="641"/>
      <c r="AV258" s="1489" t="str">
        <f>IF(K258&lt;&gt;"","V列に色付け","")</f>
        <v/>
      </c>
      <c r="AW258" s="642" t="str">
        <f>IF('別紙様式2-2（４・５月分）'!O197="","",'別紙様式2-2（４・５月分）'!O197)</f>
        <v/>
      </c>
      <c r="AX258" s="1503">
        <f>SUM('別紙様式2-2（４・５月分）'!P197:P199)</f>
        <v>0</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5"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1"/>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35"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IFERROR(IF(AND(OR(N258="",N259="",N261=""),U258=""),0,ROUNDDOWN(ROUNDDOWN(ROUND(L258*VLOOKUP(K258,【参考】数式用!$A$5:$AB$27,MATCH("新加算Ⅳ",【参考】数式用!$B$4:$AB$4,0)+1,0),0)*M258,0)*AG260*0.5,0)),"")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1"/>
      <c r="AV260" s="1489" t="str">
        <f>IF(K258&lt;&gt;"","V列に色付け","")</f>
        <v/>
      </c>
      <c r="AW260" s="1514"/>
      <c r="AX260" s="1503"/>
      <c r="AY260"/>
      <c r="AZ260"/>
      <c r="BA260"/>
      <c r="BB260"/>
      <c r="BC260"/>
      <c r="BD260"/>
      <c r="BE260"/>
      <c r="BF260"/>
      <c r="BG260"/>
      <c r="BH260"/>
      <c r="BI260"/>
      <c r="BJ260"/>
      <c r="BK260"/>
      <c r="BL260" s="535" t="str">
        <f>G258</f>
        <v/>
      </c>
    </row>
    <row r="261" spans="1:64" ht="30" customHeight="1" thickBot="1">
      <c r="A261" s="1224"/>
      <c r="B261" s="1373"/>
      <c r="C261" s="1374"/>
      <c r="D261" s="1374"/>
      <c r="E261" s="1374"/>
      <c r="F261" s="1375"/>
      <c r="G261" s="1264"/>
      <c r="H261" s="1264"/>
      <c r="I261" s="1264"/>
      <c r="J261" s="1370"/>
      <c r="K261" s="1264"/>
      <c r="L261" s="1245"/>
      <c r="M261" s="1248"/>
      <c r="N261" s="640"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9"/>
      <c r="AW261" s="642" t="str">
        <f>IF('別紙様式2-2（４・５月分）'!O199="","",'別紙様式2-2（４・５月分）'!O199)</f>
        <v/>
      </c>
      <c r="AX261" s="1503"/>
      <c r="AY261"/>
      <c r="AZ261"/>
      <c r="BA261"/>
      <c r="BB261"/>
      <c r="BC261"/>
      <c r="BD261"/>
      <c r="BE261"/>
      <c r="BF261"/>
      <c r="BG261"/>
      <c r="BH261"/>
      <c r="BI261"/>
      <c r="BJ261"/>
      <c r="BK261"/>
      <c r="BL261" s="535"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IFERROR(IF(AND(OR(N262="",N263="",N265=""),U262=""),0,ROUNDDOWN(ROUNDDOWN(ROUND(L262*VLOOKUP(K262,【参考】数式用!$A$5:$AB$27,MATCH("新加算Ⅳ",【参考】数式用!$B$4:$AB$4,0)+1,0),0)*M262,0)*AG262*0.5,0)),"")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48" t="str">
        <f t="shared" si="201"/>
        <v/>
      </c>
      <c r="AU262" s="641"/>
      <c r="AV262" s="1489" t="str">
        <f>IF(K262&lt;&gt;"","V列に色付け","")</f>
        <v/>
      </c>
      <c r="AW262" s="642" t="str">
        <f>IF('別紙様式2-2（４・５月分）'!O200="","",'別紙様式2-2（４・５月分）'!O200)</f>
        <v/>
      </c>
      <c r="AX262" s="1503">
        <f>SUM('別紙様式2-2（４・５月分）'!P200:P202)</f>
        <v>0</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5"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1"/>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35"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IFERROR(IF(AND(OR(N262="",N263="",N265=""),U262=""),0,ROUNDDOWN(ROUNDDOWN(ROUND(L262*VLOOKUP(K262,【参考】数式用!$A$5:$AB$27,MATCH("新加算Ⅳ",【参考】数式用!$B$4:$AB$4,0)+1,0),0)*M262,0)*AG264*0.5,0)),"")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1"/>
      <c r="AV264" s="1489" t="str">
        <f>IF(K262&lt;&gt;"","V列に色付け","")</f>
        <v/>
      </c>
      <c r="AW264" s="1514"/>
      <c r="AX264" s="1503"/>
      <c r="AY264"/>
      <c r="AZ264"/>
      <c r="BA264"/>
      <c r="BB264"/>
      <c r="BC264"/>
      <c r="BD264"/>
      <c r="BE264"/>
      <c r="BF264"/>
      <c r="BG264"/>
      <c r="BH264"/>
      <c r="BI264"/>
      <c r="BJ264"/>
      <c r="BK264"/>
      <c r="BL264" s="535" t="str">
        <f>G262</f>
        <v/>
      </c>
    </row>
    <row r="265" spans="1:64" ht="30" customHeight="1" thickBot="1">
      <c r="A265" s="1224"/>
      <c r="B265" s="1373"/>
      <c r="C265" s="1374"/>
      <c r="D265" s="1374"/>
      <c r="E265" s="1374"/>
      <c r="F265" s="1375"/>
      <c r="G265" s="1264"/>
      <c r="H265" s="1264"/>
      <c r="I265" s="1264"/>
      <c r="J265" s="1370"/>
      <c r="K265" s="1264"/>
      <c r="L265" s="1245"/>
      <c r="M265" s="1372"/>
      <c r="N265" s="640"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9"/>
      <c r="AW265" s="642" t="str">
        <f>IF('別紙様式2-2（４・５月分）'!O202="","",'別紙様式2-2（４・５月分）'!O202)</f>
        <v/>
      </c>
      <c r="AX265" s="1503"/>
      <c r="AY265"/>
      <c r="AZ265"/>
      <c r="BA265"/>
      <c r="BB265"/>
      <c r="BC265"/>
      <c r="BD265"/>
      <c r="BE265"/>
      <c r="BF265"/>
      <c r="BG265"/>
      <c r="BH265"/>
      <c r="BI265"/>
      <c r="BJ265"/>
      <c r="BK265"/>
      <c r="BL265" s="535"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IFERROR(IF(AND(OR(N266="",N267="",N269=""),U266=""),0,ROUNDDOWN(ROUNDDOWN(ROUND(L266*VLOOKUP(K266,【参考】数式用!$A$5:$AB$27,MATCH("新加算Ⅳ",【参考】数式用!$B$4:$AB$4,0)+1,0),0)*M266,0)*AG266*0.5,0)),"")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48" t="str">
        <f t="shared" si="201"/>
        <v/>
      </c>
      <c r="AU266" s="641"/>
      <c r="AV266" s="1489" t="str">
        <f>IF(K266&lt;&gt;"","V列に色付け","")</f>
        <v/>
      </c>
      <c r="AW266" s="642" t="str">
        <f>IF('別紙様式2-2（４・５月分）'!O203="","",'別紙様式2-2（４・５月分）'!O203)</f>
        <v/>
      </c>
      <c r="AX266" s="1503">
        <f>SUM('別紙様式2-2（４・５月分）'!P203:P205)</f>
        <v>0</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5"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1"/>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35"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IFERROR(IF(AND(OR(N266="",N267="",N269=""),U266=""),0,ROUNDDOWN(ROUNDDOWN(ROUND(L266*VLOOKUP(K266,【参考】数式用!$A$5:$AB$27,MATCH("新加算Ⅳ",【参考】数式用!$B$4:$AB$4,0)+1,0),0)*M266,0)*AG268*0.5,0)),"")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1"/>
      <c r="AV268" s="1489" t="str">
        <f>IF(K266&lt;&gt;"","V列に色付け","")</f>
        <v/>
      </c>
      <c r="AW268" s="1514"/>
      <c r="AX268" s="1503"/>
      <c r="AY268"/>
      <c r="AZ268"/>
      <c r="BA268"/>
      <c r="BB268"/>
      <c r="BC268"/>
      <c r="BD268"/>
      <c r="BE268"/>
      <c r="BF268"/>
      <c r="BG268"/>
      <c r="BH268"/>
      <c r="BI268"/>
      <c r="BJ268"/>
      <c r="BK268"/>
      <c r="BL268" s="535" t="str">
        <f>G266</f>
        <v/>
      </c>
    </row>
    <row r="269" spans="1:64" ht="30" customHeight="1" thickBot="1">
      <c r="A269" s="1224"/>
      <c r="B269" s="1373"/>
      <c r="C269" s="1374"/>
      <c r="D269" s="1374"/>
      <c r="E269" s="1374"/>
      <c r="F269" s="1375"/>
      <c r="G269" s="1264"/>
      <c r="H269" s="1264"/>
      <c r="I269" s="1264"/>
      <c r="J269" s="1370"/>
      <c r="K269" s="1264"/>
      <c r="L269" s="1245"/>
      <c r="M269" s="1248"/>
      <c r="N269" s="640"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9"/>
      <c r="AW269" s="642" t="str">
        <f>IF('別紙様式2-2（４・５月分）'!O205="","",'別紙様式2-2（４・５月分）'!O205)</f>
        <v/>
      </c>
      <c r="AX269" s="1503"/>
      <c r="AY269"/>
      <c r="AZ269"/>
      <c r="BA269"/>
      <c r="BB269"/>
      <c r="BC269"/>
      <c r="BD269"/>
      <c r="BE269"/>
      <c r="BF269"/>
      <c r="BG269"/>
      <c r="BH269"/>
      <c r="BI269"/>
      <c r="BJ269"/>
      <c r="BK269"/>
      <c r="BL269" s="535"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IFERROR(IF(AND(OR(N270="",N271="",N273=""),U270=""),0,ROUNDDOWN(ROUNDDOWN(ROUND(L270*VLOOKUP(K270,【参考】数式用!$A$5:$AB$27,MATCH("新加算Ⅳ",【参考】数式用!$B$4:$AB$4,0)+1,0),0)*M270,0)*AG270*0.5,0)),"")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48" t="str">
        <f t="shared" si="201"/>
        <v/>
      </c>
      <c r="AU270" s="641"/>
      <c r="AV270" s="1489" t="str">
        <f>IF(K270&lt;&gt;"","V列に色付け","")</f>
        <v/>
      </c>
      <c r="AW270" s="642" t="str">
        <f>IF('別紙様式2-2（４・５月分）'!O206="","",'別紙様式2-2（４・５月分）'!O206)</f>
        <v/>
      </c>
      <c r="AX270" s="1503">
        <f>SUM('別紙様式2-2（４・５月分）'!P206:P208)</f>
        <v>0</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5"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1"/>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35"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IFERROR(IF(AND(OR(N270="",N271="",N273=""),U270=""),0,ROUNDDOWN(ROUNDDOWN(ROUND(L270*VLOOKUP(K270,【参考】数式用!$A$5:$AB$27,MATCH("新加算Ⅳ",【参考】数式用!$B$4:$AB$4,0)+1,0),0)*M270,0)*AG272*0.5,0)),"")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1"/>
      <c r="AV272" s="1489" t="str">
        <f>IF(K270&lt;&gt;"","V列に色付け","")</f>
        <v/>
      </c>
      <c r="AW272" s="1514"/>
      <c r="AX272" s="1503"/>
      <c r="AY272"/>
      <c r="AZ272"/>
      <c r="BA272"/>
      <c r="BB272"/>
      <c r="BC272"/>
      <c r="BD272"/>
      <c r="BE272"/>
      <c r="BF272"/>
      <c r="BG272"/>
      <c r="BH272"/>
      <c r="BI272"/>
      <c r="BJ272"/>
      <c r="BK272"/>
      <c r="BL272" s="535" t="str">
        <f>G270</f>
        <v/>
      </c>
    </row>
    <row r="273" spans="1:64" ht="30" customHeight="1" thickBot="1">
      <c r="A273" s="1224"/>
      <c r="B273" s="1373"/>
      <c r="C273" s="1374"/>
      <c r="D273" s="1374"/>
      <c r="E273" s="1374"/>
      <c r="F273" s="1375"/>
      <c r="G273" s="1264"/>
      <c r="H273" s="1264"/>
      <c r="I273" s="1264"/>
      <c r="J273" s="1370"/>
      <c r="K273" s="1264"/>
      <c r="L273" s="1245"/>
      <c r="M273" s="1372"/>
      <c r="N273" s="640"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9"/>
      <c r="AW273" s="642" t="str">
        <f>IF('別紙様式2-2（４・５月分）'!O208="","",'別紙様式2-2（４・５月分）'!O208)</f>
        <v/>
      </c>
      <c r="AX273" s="1503"/>
      <c r="AY273"/>
      <c r="AZ273"/>
      <c r="BA273"/>
      <c r="BB273"/>
      <c r="BC273"/>
      <c r="BD273"/>
      <c r="BE273"/>
      <c r="BF273"/>
      <c r="BG273"/>
      <c r="BH273"/>
      <c r="BI273"/>
      <c r="BJ273"/>
      <c r="BK273"/>
      <c r="BL273" s="535"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IFERROR(IF(AND(OR(N274="",N275="",N277=""),U274=""),0,ROUNDDOWN(ROUNDDOWN(ROUND(L274*VLOOKUP(K274,【参考】数式用!$A$5:$AB$27,MATCH("新加算Ⅳ",【参考】数式用!$B$4:$AB$4,0)+1,0),0)*M274,0)*AG274*0.5,0)),"")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48" t="str">
        <f t="shared" ref="AT274:AT334" si="268">IF(AV274="","",IF(V274&lt;O274,"！加算の要件上は問題ありませんが、令和６年４・５月と比較して令和６年６月に加算率が下がる計画になっています。",""))</f>
        <v/>
      </c>
      <c r="AU274" s="641"/>
      <c r="AV274" s="1489" t="str">
        <f>IF(K274&lt;&gt;"","V列に色付け","")</f>
        <v/>
      </c>
      <c r="AW274" s="642" t="str">
        <f>IF('別紙様式2-2（４・５月分）'!O209="","",'別紙様式2-2（４・５月分）'!O209)</f>
        <v/>
      </c>
      <c r="AX274" s="1503">
        <f>SUM('別紙様式2-2（４・５月分）'!P209:P211)</f>
        <v>0</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5"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35"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IFERROR(IF(AND(OR(N274="",N275="",N277=""),U274=""),0,ROUNDDOWN(ROUNDDOWN(ROUND(L274*VLOOKUP(K274,【参考】数式用!$A$5:$AB$27,MATCH("新加算Ⅳ",【参考】数式用!$B$4:$AB$4,0)+1,0),0)*M274,0)*AG276*0.5,0)),"")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1"/>
      <c r="AV276" s="1489" t="str">
        <f>IF(K274&lt;&gt;"","V列に色付け","")</f>
        <v/>
      </c>
      <c r="AW276" s="1514"/>
      <c r="AX276" s="1503"/>
      <c r="AY276"/>
      <c r="AZ276"/>
      <c r="BA276"/>
      <c r="BB276"/>
      <c r="BC276"/>
      <c r="BD276"/>
      <c r="BE276"/>
      <c r="BF276"/>
      <c r="BG276"/>
      <c r="BH276"/>
      <c r="BI276"/>
      <c r="BJ276"/>
      <c r="BK276"/>
      <c r="BL276" s="535" t="str">
        <f>G274</f>
        <v/>
      </c>
    </row>
    <row r="277" spans="1:64" ht="30" customHeight="1" thickBot="1">
      <c r="A277" s="1224"/>
      <c r="B277" s="1373"/>
      <c r="C277" s="1374"/>
      <c r="D277" s="1374"/>
      <c r="E277" s="1374"/>
      <c r="F277" s="1375"/>
      <c r="G277" s="1264"/>
      <c r="H277" s="1264"/>
      <c r="I277" s="1264"/>
      <c r="J277" s="1370"/>
      <c r="K277" s="1264"/>
      <c r="L277" s="1245"/>
      <c r="M277" s="1248"/>
      <c r="N277" s="640"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9"/>
      <c r="AW277" s="642" t="str">
        <f>IF('別紙様式2-2（４・５月分）'!O211="","",'別紙様式2-2（４・５月分）'!O211)</f>
        <v/>
      </c>
      <c r="AX277" s="1503"/>
      <c r="AY277"/>
      <c r="AZ277"/>
      <c r="BA277"/>
      <c r="BB277"/>
      <c r="BC277"/>
      <c r="BD277"/>
      <c r="BE277"/>
      <c r="BF277"/>
      <c r="BG277"/>
      <c r="BH277"/>
      <c r="BI277"/>
      <c r="BJ277"/>
      <c r="BK277"/>
      <c r="BL277" s="535"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IFERROR(IF(AND(OR(N278="",N279="",N281=""),U278=""),0,ROUNDDOWN(ROUNDDOWN(ROUND(L278*VLOOKUP(K278,【参考】数式用!$A$5:$AB$27,MATCH("新加算Ⅳ",【参考】数式用!$B$4:$AB$4,0)+1,0),0)*M278,0)*AG278*0.5,0)),"")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48" t="str">
        <f t="shared" si="268"/>
        <v/>
      </c>
      <c r="AU278" s="641"/>
      <c r="AV278" s="1489" t="str">
        <f>IF(K278&lt;&gt;"","V列に色付け","")</f>
        <v/>
      </c>
      <c r="AW278" s="642" t="str">
        <f>IF('別紙様式2-2（４・５月分）'!O212="","",'別紙様式2-2（４・５月分）'!O212)</f>
        <v/>
      </c>
      <c r="AX278" s="1503">
        <f>SUM('別紙様式2-2（４・５月分）'!P212:P214)</f>
        <v>0</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5"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1"/>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35"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IFERROR(IF(AND(OR(N278="",N279="",N281=""),U278=""),0,ROUNDDOWN(ROUNDDOWN(ROUND(L278*VLOOKUP(K278,【参考】数式用!$A$5:$AB$27,MATCH("新加算Ⅳ",【参考】数式用!$B$4:$AB$4,0)+1,0),0)*M278,0)*AG280*0.5,0)),"")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1"/>
      <c r="AV280" s="1489" t="str">
        <f>IF(K278&lt;&gt;"","V列に色付け","")</f>
        <v/>
      </c>
      <c r="AW280" s="1514"/>
      <c r="AX280" s="1503"/>
      <c r="AY280"/>
      <c r="AZ280"/>
      <c r="BA280"/>
      <c r="BB280"/>
      <c r="BC280"/>
      <c r="BD280"/>
      <c r="BE280"/>
      <c r="BF280"/>
      <c r="BG280"/>
      <c r="BH280"/>
      <c r="BI280"/>
      <c r="BJ280"/>
      <c r="BK280"/>
      <c r="BL280" s="535" t="str">
        <f>G278</f>
        <v/>
      </c>
    </row>
    <row r="281" spans="1:64" ht="30" customHeight="1" thickBot="1">
      <c r="A281" s="1224"/>
      <c r="B281" s="1373"/>
      <c r="C281" s="1374"/>
      <c r="D281" s="1374"/>
      <c r="E281" s="1374"/>
      <c r="F281" s="1375"/>
      <c r="G281" s="1264"/>
      <c r="H281" s="1264"/>
      <c r="I281" s="1264"/>
      <c r="J281" s="1370"/>
      <c r="K281" s="1264"/>
      <c r="L281" s="1245"/>
      <c r="M281" s="1372"/>
      <c r="N281" s="640"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9"/>
      <c r="AW281" s="642" t="str">
        <f>IF('別紙様式2-2（４・５月分）'!O214="","",'別紙様式2-2（４・５月分）'!O214)</f>
        <v/>
      </c>
      <c r="AX281" s="1503"/>
      <c r="AY281"/>
      <c r="AZ281"/>
      <c r="BA281"/>
      <c r="BB281"/>
      <c r="BC281"/>
      <c r="BD281"/>
      <c r="BE281"/>
      <c r="BF281"/>
      <c r="BG281"/>
      <c r="BH281"/>
      <c r="BI281"/>
      <c r="BJ281"/>
      <c r="BK281"/>
      <c r="BL281" s="535"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IFERROR(IF(AND(OR(N282="",N283="",N285=""),U282=""),0,ROUNDDOWN(ROUNDDOWN(ROUND(L282*VLOOKUP(K282,【参考】数式用!$A$5:$AB$27,MATCH("新加算Ⅳ",【参考】数式用!$B$4:$AB$4,0)+1,0),0)*M282,0)*AG282*0.5,0)),"")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48" t="str">
        <f t="shared" si="268"/>
        <v/>
      </c>
      <c r="AU282" s="641"/>
      <c r="AV282" s="1489" t="str">
        <f>IF(K282&lt;&gt;"","V列に色付け","")</f>
        <v/>
      </c>
      <c r="AW282" s="642" t="str">
        <f>IF('別紙様式2-2（４・５月分）'!O215="","",'別紙様式2-2（４・５月分）'!O215)</f>
        <v/>
      </c>
      <c r="AX282" s="1503">
        <f>SUM('別紙様式2-2（４・５月分）'!P215:P217)</f>
        <v>0</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5"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1"/>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35"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IFERROR(IF(AND(OR(N282="",N283="",N285=""),U282=""),0,ROUNDDOWN(ROUNDDOWN(ROUND(L282*VLOOKUP(K282,【参考】数式用!$A$5:$AB$27,MATCH("新加算Ⅳ",【参考】数式用!$B$4:$AB$4,0)+1,0),0)*M282,0)*AG284*0.5,0)),"")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1"/>
      <c r="AV284" s="1489" t="str">
        <f>IF(K282&lt;&gt;"","V列に色付け","")</f>
        <v/>
      </c>
      <c r="AW284" s="1514"/>
      <c r="AX284" s="1503"/>
      <c r="AY284"/>
      <c r="AZ284"/>
      <c r="BA284"/>
      <c r="BB284"/>
      <c r="BC284"/>
      <c r="BD284"/>
      <c r="BE284"/>
      <c r="BF284"/>
      <c r="BG284"/>
      <c r="BH284"/>
      <c r="BI284"/>
      <c r="BJ284"/>
      <c r="BK284"/>
      <c r="BL284" s="535" t="str">
        <f>G282</f>
        <v/>
      </c>
    </row>
    <row r="285" spans="1:64" ht="30" customHeight="1" thickBot="1">
      <c r="A285" s="1224"/>
      <c r="B285" s="1373"/>
      <c r="C285" s="1374"/>
      <c r="D285" s="1374"/>
      <c r="E285" s="1374"/>
      <c r="F285" s="1375"/>
      <c r="G285" s="1264"/>
      <c r="H285" s="1264"/>
      <c r="I285" s="1264"/>
      <c r="J285" s="1370"/>
      <c r="K285" s="1264"/>
      <c r="L285" s="1245"/>
      <c r="M285" s="1248"/>
      <c r="N285" s="640"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9"/>
      <c r="AW285" s="642" t="str">
        <f>IF('別紙様式2-2（４・５月分）'!O217="","",'別紙様式2-2（４・５月分）'!O217)</f>
        <v/>
      </c>
      <c r="AX285" s="1503"/>
      <c r="AY285"/>
      <c r="AZ285"/>
      <c r="BA285"/>
      <c r="BB285"/>
      <c r="BC285"/>
      <c r="BD285"/>
      <c r="BE285"/>
      <c r="BF285"/>
      <c r="BG285"/>
      <c r="BH285"/>
      <c r="BI285"/>
      <c r="BJ285"/>
      <c r="BK285"/>
      <c r="BL285" s="535"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IFERROR(IF(AND(OR(N286="",N287="",N289=""),U286=""),0,ROUNDDOWN(ROUNDDOWN(ROUND(L286*VLOOKUP(K286,【参考】数式用!$A$5:$AB$27,MATCH("新加算Ⅳ",【参考】数式用!$B$4:$AB$4,0)+1,0),0)*M286,0)*AG286*0.5,0)),"")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48" t="str">
        <f t="shared" si="268"/>
        <v/>
      </c>
      <c r="AU286" s="641"/>
      <c r="AV286" s="1489" t="str">
        <f>IF(K286&lt;&gt;"","V列に色付け","")</f>
        <v/>
      </c>
      <c r="AW286" s="642" t="str">
        <f>IF('別紙様式2-2（４・５月分）'!O218="","",'別紙様式2-2（４・５月分）'!O218)</f>
        <v/>
      </c>
      <c r="AX286" s="1503">
        <f>SUM('別紙様式2-2（４・５月分）'!P218:P220)</f>
        <v>0</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5"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1"/>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35"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IFERROR(IF(AND(OR(N286="",N287="",N289=""),U286=""),0,ROUNDDOWN(ROUNDDOWN(ROUND(L286*VLOOKUP(K286,【参考】数式用!$A$5:$AB$27,MATCH("新加算Ⅳ",【参考】数式用!$B$4:$AB$4,0)+1,0),0)*M286,0)*AG288*0.5,0)),"")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1"/>
      <c r="AV288" s="1489" t="str">
        <f>IF(K286&lt;&gt;"","V列に色付け","")</f>
        <v/>
      </c>
      <c r="AW288" s="1514"/>
      <c r="AX288" s="1503"/>
      <c r="AY288"/>
      <c r="AZ288"/>
      <c r="BA288"/>
      <c r="BB288"/>
      <c r="BC288"/>
      <c r="BD288"/>
      <c r="BE288"/>
      <c r="BF288"/>
      <c r="BG288"/>
      <c r="BH288"/>
      <c r="BI288"/>
      <c r="BJ288"/>
      <c r="BK288"/>
      <c r="BL288" s="535" t="str">
        <f>G286</f>
        <v/>
      </c>
    </row>
    <row r="289" spans="1:64" ht="30" customHeight="1" thickBot="1">
      <c r="A289" s="1224"/>
      <c r="B289" s="1373"/>
      <c r="C289" s="1374"/>
      <c r="D289" s="1374"/>
      <c r="E289" s="1374"/>
      <c r="F289" s="1375"/>
      <c r="G289" s="1264"/>
      <c r="H289" s="1264"/>
      <c r="I289" s="1264"/>
      <c r="J289" s="1370"/>
      <c r="K289" s="1264"/>
      <c r="L289" s="1245"/>
      <c r="M289" s="1372"/>
      <c r="N289" s="640"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9"/>
      <c r="AW289" s="642" t="str">
        <f>IF('別紙様式2-2（４・５月分）'!O220="","",'別紙様式2-2（４・５月分）'!O220)</f>
        <v/>
      </c>
      <c r="AX289" s="1503"/>
      <c r="AY289"/>
      <c r="AZ289"/>
      <c r="BA289"/>
      <c r="BB289"/>
      <c r="BC289"/>
      <c r="BD289"/>
      <c r="BE289"/>
      <c r="BF289"/>
      <c r="BG289"/>
      <c r="BH289"/>
      <c r="BI289"/>
      <c r="BJ289"/>
      <c r="BK289"/>
      <c r="BL289" s="535"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IFERROR(IF(AND(OR(N290="",N291="",N293=""),U290=""),0,ROUNDDOWN(ROUNDDOWN(ROUND(L290*VLOOKUP(K290,【参考】数式用!$A$5:$AB$27,MATCH("新加算Ⅳ",【参考】数式用!$B$4:$AB$4,0)+1,0),0)*M290,0)*AG290*0.5,0)),"")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48" t="str">
        <f t="shared" si="268"/>
        <v/>
      </c>
      <c r="AU290" s="641"/>
      <c r="AV290" s="1489" t="str">
        <f>IF(K290&lt;&gt;"","V列に色付け","")</f>
        <v/>
      </c>
      <c r="AW290" s="642" t="str">
        <f>IF('別紙様式2-2（４・５月分）'!O221="","",'別紙様式2-2（４・５月分）'!O221)</f>
        <v/>
      </c>
      <c r="AX290" s="1503">
        <f>SUM('別紙様式2-2（４・５月分）'!P221:P223)</f>
        <v>0</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5"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1"/>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35"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IFERROR(IF(AND(OR(N290="",N291="",N293=""),U290=""),0,ROUNDDOWN(ROUNDDOWN(ROUND(L290*VLOOKUP(K290,【参考】数式用!$A$5:$AB$27,MATCH("新加算Ⅳ",【参考】数式用!$B$4:$AB$4,0)+1,0),0)*M290,0)*AG292*0.5,0)),"")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1"/>
      <c r="AV292" s="1489" t="str">
        <f>IF(K290&lt;&gt;"","V列に色付け","")</f>
        <v/>
      </c>
      <c r="AW292" s="1514"/>
      <c r="AX292" s="1503"/>
      <c r="AY292"/>
      <c r="AZ292"/>
      <c r="BA292"/>
      <c r="BB292"/>
      <c r="BC292"/>
      <c r="BD292"/>
      <c r="BE292"/>
      <c r="BF292"/>
      <c r="BG292"/>
      <c r="BH292"/>
      <c r="BI292"/>
      <c r="BJ292"/>
      <c r="BK292"/>
      <c r="BL292" s="535" t="str">
        <f>G290</f>
        <v/>
      </c>
    </row>
    <row r="293" spans="1:64" ht="30" customHeight="1" thickBot="1">
      <c r="A293" s="1224"/>
      <c r="B293" s="1373"/>
      <c r="C293" s="1374"/>
      <c r="D293" s="1374"/>
      <c r="E293" s="1374"/>
      <c r="F293" s="1375"/>
      <c r="G293" s="1264"/>
      <c r="H293" s="1264"/>
      <c r="I293" s="1264"/>
      <c r="J293" s="1370"/>
      <c r="K293" s="1264"/>
      <c r="L293" s="1245"/>
      <c r="M293" s="1248"/>
      <c r="N293" s="640"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9"/>
      <c r="AW293" s="642" t="str">
        <f>IF('別紙様式2-2（４・５月分）'!O223="","",'別紙様式2-2（４・５月分）'!O223)</f>
        <v/>
      </c>
      <c r="AX293" s="1503"/>
      <c r="AY293"/>
      <c r="AZ293"/>
      <c r="BA293"/>
      <c r="BB293"/>
      <c r="BC293"/>
      <c r="BD293"/>
      <c r="BE293"/>
      <c r="BF293"/>
      <c r="BG293"/>
      <c r="BH293"/>
      <c r="BI293"/>
      <c r="BJ293"/>
      <c r="BK293"/>
      <c r="BL293" s="535"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IFERROR(IF(AND(OR(N294="",N295="",N297=""),U294=""),0,ROUNDDOWN(ROUNDDOWN(ROUND(L294*VLOOKUP(K294,【参考】数式用!$A$5:$AB$27,MATCH("新加算Ⅳ",【参考】数式用!$B$4:$AB$4,0)+1,0),0)*M294,0)*AG294*0.5,0)),"")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48" t="str">
        <f t="shared" si="268"/>
        <v/>
      </c>
      <c r="AU294" s="641"/>
      <c r="AV294" s="1489" t="str">
        <f>IF(K294&lt;&gt;"","V列に色付け","")</f>
        <v/>
      </c>
      <c r="AW294" s="642" t="str">
        <f>IF('別紙様式2-2（４・５月分）'!O224="","",'別紙様式2-2（４・５月分）'!O224)</f>
        <v/>
      </c>
      <c r="AX294" s="1503">
        <f>SUM('別紙様式2-2（４・５月分）'!P224:P226)</f>
        <v>0</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5"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1"/>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35"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IFERROR(IF(AND(OR(N294="",N295="",N297=""),U294=""),0,ROUNDDOWN(ROUNDDOWN(ROUND(L294*VLOOKUP(K294,【参考】数式用!$A$5:$AB$27,MATCH("新加算Ⅳ",【参考】数式用!$B$4:$AB$4,0)+1,0),0)*M294,0)*AG296*0.5,0)),"")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1"/>
      <c r="AV296" s="1489" t="str">
        <f>IF(K294&lt;&gt;"","V列に色付け","")</f>
        <v/>
      </c>
      <c r="AW296" s="1514"/>
      <c r="AX296" s="1503"/>
      <c r="AY296"/>
      <c r="AZ296"/>
      <c r="BA296"/>
      <c r="BB296"/>
      <c r="BC296"/>
      <c r="BD296"/>
      <c r="BE296"/>
      <c r="BF296"/>
      <c r="BG296"/>
      <c r="BH296"/>
      <c r="BI296"/>
      <c r="BJ296"/>
      <c r="BK296"/>
      <c r="BL296" s="535" t="str">
        <f>G294</f>
        <v/>
      </c>
    </row>
    <row r="297" spans="1:64" ht="30" customHeight="1" thickBot="1">
      <c r="A297" s="1224"/>
      <c r="B297" s="1373"/>
      <c r="C297" s="1374"/>
      <c r="D297" s="1374"/>
      <c r="E297" s="1374"/>
      <c r="F297" s="1375"/>
      <c r="G297" s="1264"/>
      <c r="H297" s="1264"/>
      <c r="I297" s="1264"/>
      <c r="J297" s="1370"/>
      <c r="K297" s="1264"/>
      <c r="L297" s="1245"/>
      <c r="M297" s="1372"/>
      <c r="N297" s="640"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9"/>
      <c r="AW297" s="642" t="str">
        <f>IF('別紙様式2-2（４・５月分）'!O226="","",'別紙様式2-2（４・５月分）'!O226)</f>
        <v/>
      </c>
      <c r="AX297" s="1503"/>
      <c r="AY297"/>
      <c r="AZ297"/>
      <c r="BA297"/>
      <c r="BB297"/>
      <c r="BC297"/>
      <c r="BD297"/>
      <c r="BE297"/>
      <c r="BF297"/>
      <c r="BG297"/>
      <c r="BH297"/>
      <c r="BI297"/>
      <c r="BJ297"/>
      <c r="BK297"/>
      <c r="BL297" s="535"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IFERROR(IF(AND(OR(N298="",N299="",N301=""),U298=""),0,ROUNDDOWN(ROUNDDOWN(ROUND(L298*VLOOKUP(K298,【参考】数式用!$A$5:$AB$27,MATCH("新加算Ⅳ",【参考】数式用!$B$4:$AB$4,0)+1,0),0)*M298,0)*AG298*0.5,0)),"")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48" t="str">
        <f t="shared" si="268"/>
        <v/>
      </c>
      <c r="AU298" s="641"/>
      <c r="AV298" s="1489" t="str">
        <f>IF(K298&lt;&gt;"","V列に色付け","")</f>
        <v/>
      </c>
      <c r="AW298" s="642" t="str">
        <f>IF('別紙様式2-2（４・５月分）'!O227="","",'別紙様式2-2（４・５月分）'!O227)</f>
        <v/>
      </c>
      <c r="AX298" s="1503">
        <f>SUM('別紙様式2-2（４・５月分）'!P227:P229)</f>
        <v>0</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5"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1"/>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35"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IFERROR(IF(AND(OR(N298="",N299="",N301=""),U298=""),0,ROUNDDOWN(ROUNDDOWN(ROUND(L298*VLOOKUP(K298,【参考】数式用!$A$5:$AB$27,MATCH("新加算Ⅳ",【参考】数式用!$B$4:$AB$4,0)+1,0),0)*M298,0)*AG300*0.5,0)),"")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1"/>
      <c r="AV300" s="1489" t="str">
        <f>IF(K298&lt;&gt;"","V列に色付け","")</f>
        <v/>
      </c>
      <c r="AW300" s="1514"/>
      <c r="AX300" s="1503"/>
      <c r="AY300"/>
      <c r="AZ300"/>
      <c r="BA300"/>
      <c r="BB300"/>
      <c r="BC300"/>
      <c r="BD300"/>
      <c r="BE300"/>
      <c r="BF300"/>
      <c r="BG300"/>
      <c r="BH300"/>
      <c r="BI300"/>
      <c r="BJ300"/>
      <c r="BK300"/>
      <c r="BL300" s="535" t="str">
        <f>G298</f>
        <v/>
      </c>
    </row>
    <row r="301" spans="1:64" ht="30" customHeight="1" thickBot="1">
      <c r="A301" s="1224"/>
      <c r="B301" s="1373"/>
      <c r="C301" s="1374"/>
      <c r="D301" s="1374"/>
      <c r="E301" s="1374"/>
      <c r="F301" s="1375"/>
      <c r="G301" s="1264"/>
      <c r="H301" s="1264"/>
      <c r="I301" s="1264"/>
      <c r="J301" s="1370"/>
      <c r="K301" s="1264"/>
      <c r="L301" s="1245"/>
      <c r="M301" s="1248"/>
      <c r="N301" s="640"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9"/>
      <c r="AW301" s="642" t="str">
        <f>IF('別紙様式2-2（４・５月分）'!O229="","",'別紙様式2-2（４・５月分）'!O229)</f>
        <v/>
      </c>
      <c r="AX301" s="1503"/>
      <c r="AY301"/>
      <c r="AZ301"/>
      <c r="BA301"/>
      <c r="BB301"/>
      <c r="BC301"/>
      <c r="BD301"/>
      <c r="BE301"/>
      <c r="BF301"/>
      <c r="BG301"/>
      <c r="BH301"/>
      <c r="BI301"/>
      <c r="BJ301"/>
      <c r="BK301"/>
      <c r="BL301" s="535"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IFERROR(IF(AND(OR(N302="",N303="",N305=""),U302=""),0,ROUNDDOWN(ROUNDDOWN(ROUND(L302*VLOOKUP(K302,【参考】数式用!$A$5:$AB$27,MATCH("新加算Ⅳ",【参考】数式用!$B$4:$AB$4,0)+1,0),0)*M302,0)*AG302*0.5,0)),"")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48" t="str">
        <f t="shared" si="268"/>
        <v/>
      </c>
      <c r="AU302" s="641"/>
      <c r="AV302" s="1489" t="str">
        <f>IF(K302&lt;&gt;"","V列に色付け","")</f>
        <v/>
      </c>
      <c r="AW302" s="642" t="str">
        <f>IF('別紙様式2-2（４・５月分）'!O230="","",'別紙様式2-2（４・５月分）'!O230)</f>
        <v/>
      </c>
      <c r="AX302" s="1503">
        <f>SUM('別紙様式2-2（４・５月分）'!P230:P232)</f>
        <v>0</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5"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1"/>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35"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IFERROR(IF(AND(OR(N302="",N303="",N305=""),U302=""),0,ROUNDDOWN(ROUNDDOWN(ROUND(L302*VLOOKUP(K302,【参考】数式用!$A$5:$AB$27,MATCH("新加算Ⅳ",【参考】数式用!$B$4:$AB$4,0)+1,0),0)*M302,0)*AG304*0.5,0)),"")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1"/>
      <c r="AV304" s="1489" t="str">
        <f>IF(K302&lt;&gt;"","V列に色付け","")</f>
        <v/>
      </c>
      <c r="AW304" s="1514"/>
      <c r="AX304" s="1503"/>
      <c r="AY304"/>
      <c r="AZ304"/>
      <c r="BA304"/>
      <c r="BB304"/>
      <c r="BC304"/>
      <c r="BD304"/>
      <c r="BE304"/>
      <c r="BF304"/>
      <c r="BG304"/>
      <c r="BH304"/>
      <c r="BI304"/>
      <c r="BJ304"/>
      <c r="BK304"/>
      <c r="BL304" s="535" t="str">
        <f>G302</f>
        <v/>
      </c>
    </row>
    <row r="305" spans="1:64" ht="30" customHeight="1" thickBot="1">
      <c r="A305" s="1224"/>
      <c r="B305" s="1373"/>
      <c r="C305" s="1374"/>
      <c r="D305" s="1374"/>
      <c r="E305" s="1374"/>
      <c r="F305" s="1375"/>
      <c r="G305" s="1264"/>
      <c r="H305" s="1264"/>
      <c r="I305" s="1264"/>
      <c r="J305" s="1370"/>
      <c r="K305" s="1264"/>
      <c r="L305" s="1245"/>
      <c r="M305" s="1372"/>
      <c r="N305" s="640"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9"/>
      <c r="AW305" s="642" t="str">
        <f>IF('別紙様式2-2（４・５月分）'!O232="","",'別紙様式2-2（４・５月分）'!O232)</f>
        <v/>
      </c>
      <c r="AX305" s="1503"/>
      <c r="AY305"/>
      <c r="AZ305"/>
      <c r="BA305"/>
      <c r="BB305"/>
      <c r="BC305"/>
      <c r="BD305"/>
      <c r="BE305"/>
      <c r="BF305"/>
      <c r="BG305"/>
      <c r="BH305"/>
      <c r="BI305"/>
      <c r="BJ305"/>
      <c r="BK305"/>
      <c r="BL305" s="535"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IFERROR(IF(AND(OR(N306="",N307="",N309=""),U306=""),0,ROUNDDOWN(ROUNDDOWN(ROUND(L306*VLOOKUP(K306,【参考】数式用!$A$5:$AB$27,MATCH("新加算Ⅳ",【参考】数式用!$B$4:$AB$4,0)+1,0),0)*M306,0)*AG306*0.5,0)),"")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48" t="str">
        <f t="shared" si="268"/>
        <v/>
      </c>
      <c r="AU306" s="641"/>
      <c r="AV306" s="1489" t="str">
        <f>IF(K306&lt;&gt;"","V列に色付け","")</f>
        <v/>
      </c>
      <c r="AW306" s="642" t="str">
        <f>IF('別紙様式2-2（４・５月分）'!O233="","",'別紙様式2-2（４・５月分）'!O233)</f>
        <v/>
      </c>
      <c r="AX306" s="1503">
        <f>SUM('別紙様式2-2（４・５月分）'!P233:P235)</f>
        <v>0</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5"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1"/>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35"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IFERROR(IF(AND(OR(N306="",N307="",N309=""),U306=""),0,ROUNDDOWN(ROUNDDOWN(ROUND(L306*VLOOKUP(K306,【参考】数式用!$A$5:$AB$27,MATCH("新加算Ⅳ",【参考】数式用!$B$4:$AB$4,0)+1,0),0)*M306,0)*AG308*0.5,0)),"")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1"/>
      <c r="AV308" s="1489" t="str">
        <f>IF(K306&lt;&gt;"","V列に色付け","")</f>
        <v/>
      </c>
      <c r="AW308" s="1514"/>
      <c r="AX308" s="1503"/>
      <c r="AY308"/>
      <c r="AZ308"/>
      <c r="BA308"/>
      <c r="BB308"/>
      <c r="BC308"/>
      <c r="BD308"/>
      <c r="BE308"/>
      <c r="BF308"/>
      <c r="BG308"/>
      <c r="BH308"/>
      <c r="BI308"/>
      <c r="BJ308"/>
      <c r="BK308"/>
      <c r="BL308" s="535" t="str">
        <f>G306</f>
        <v/>
      </c>
    </row>
    <row r="309" spans="1:64" ht="30" customHeight="1" thickBot="1">
      <c r="A309" s="1224"/>
      <c r="B309" s="1373"/>
      <c r="C309" s="1374"/>
      <c r="D309" s="1374"/>
      <c r="E309" s="1374"/>
      <c r="F309" s="1375"/>
      <c r="G309" s="1264"/>
      <c r="H309" s="1264"/>
      <c r="I309" s="1264"/>
      <c r="J309" s="1370"/>
      <c r="K309" s="1264"/>
      <c r="L309" s="1245"/>
      <c r="M309" s="1372"/>
      <c r="N309" s="640"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9"/>
      <c r="AW309" s="642" t="str">
        <f>IF('別紙様式2-2（４・５月分）'!O235="","",'別紙様式2-2（４・５月分）'!O235)</f>
        <v/>
      </c>
      <c r="AX309" s="1503"/>
      <c r="AY309"/>
      <c r="AZ309"/>
      <c r="BA309"/>
      <c r="BB309"/>
      <c r="BC309"/>
      <c r="BD309"/>
      <c r="BE309"/>
      <c r="BF309"/>
      <c r="BG309"/>
      <c r="BH309"/>
      <c r="BI309"/>
      <c r="BJ309"/>
      <c r="BK309"/>
      <c r="BL309" s="535"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IFERROR(IF(AND(OR(N310="",N311="",N313=""),U310=""),0,ROUNDDOWN(ROUNDDOWN(ROUND(L310*VLOOKUP(K310,【参考】数式用!$A$5:$AB$27,MATCH("新加算Ⅳ",【参考】数式用!$B$4:$AB$4,0)+1,0),0)*M310,0)*AG310*0.5,0)),"")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48" t="str">
        <f t="shared" si="268"/>
        <v/>
      </c>
      <c r="AU310" s="641"/>
      <c r="AV310" s="1489" t="str">
        <f>IF(K310&lt;&gt;"","V列に色付け","")</f>
        <v/>
      </c>
      <c r="AW310" s="642" t="str">
        <f>IF('別紙様式2-2（４・５月分）'!O236="","",'別紙様式2-2（４・５月分）'!O236)</f>
        <v/>
      </c>
      <c r="AX310" s="1503">
        <f>SUM('別紙様式2-2（４・５月分）'!P236:P238)</f>
        <v>0</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5"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1"/>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35"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IFERROR(IF(AND(OR(N310="",N311="",N313=""),U310=""),0,ROUNDDOWN(ROUNDDOWN(ROUND(L310*VLOOKUP(K310,【参考】数式用!$A$5:$AB$27,MATCH("新加算Ⅳ",【参考】数式用!$B$4:$AB$4,0)+1,0),0)*M310,0)*AG312*0.5,0)),"")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1"/>
      <c r="AV312" s="1489" t="str">
        <f>IF(K310&lt;&gt;"","V列に色付け","")</f>
        <v/>
      </c>
      <c r="AW312" s="1514"/>
      <c r="AX312" s="1503"/>
      <c r="AY312"/>
      <c r="AZ312"/>
      <c r="BA312"/>
      <c r="BB312"/>
      <c r="BC312"/>
      <c r="BD312"/>
      <c r="BE312"/>
      <c r="BF312"/>
      <c r="BG312"/>
      <c r="BH312"/>
      <c r="BI312"/>
      <c r="BJ312"/>
      <c r="BK312"/>
      <c r="BL312" s="535" t="str">
        <f>G310</f>
        <v/>
      </c>
    </row>
    <row r="313" spans="1:64" ht="30" customHeight="1" thickBot="1">
      <c r="A313" s="1224"/>
      <c r="B313" s="1373"/>
      <c r="C313" s="1374"/>
      <c r="D313" s="1374"/>
      <c r="E313" s="1374"/>
      <c r="F313" s="1375"/>
      <c r="G313" s="1264"/>
      <c r="H313" s="1264"/>
      <c r="I313" s="1264"/>
      <c r="J313" s="1370"/>
      <c r="K313" s="1264"/>
      <c r="L313" s="1245"/>
      <c r="M313" s="1248"/>
      <c r="N313" s="640"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9"/>
      <c r="AW313" s="642" t="str">
        <f>IF('別紙様式2-2（４・５月分）'!O238="","",'別紙様式2-2（４・５月分）'!O238)</f>
        <v/>
      </c>
      <c r="AX313" s="1503"/>
      <c r="AY313"/>
      <c r="AZ313"/>
      <c r="BA313"/>
      <c r="BB313"/>
      <c r="BC313"/>
      <c r="BD313"/>
      <c r="BE313"/>
      <c r="BF313"/>
      <c r="BG313"/>
      <c r="BH313"/>
      <c r="BI313"/>
      <c r="BJ313"/>
      <c r="BK313"/>
      <c r="BL313" s="535"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IFERROR(IF(AND(OR(N314="",N315="",N317=""),U314=""),0,ROUNDDOWN(ROUNDDOWN(ROUND(L314*VLOOKUP(K314,【参考】数式用!$A$5:$AB$27,MATCH("新加算Ⅳ",【参考】数式用!$B$4:$AB$4,0)+1,0),0)*M314,0)*AG314*0.5,0)),"")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48" t="str">
        <f t="shared" si="268"/>
        <v/>
      </c>
      <c r="AU314" s="641"/>
      <c r="AV314" s="1489" t="str">
        <f>IF(K314&lt;&gt;"","V列に色付け","")</f>
        <v/>
      </c>
      <c r="AW314" s="642" t="str">
        <f>IF('別紙様式2-2（４・５月分）'!O239="","",'別紙様式2-2（４・５月分）'!O239)</f>
        <v/>
      </c>
      <c r="AX314" s="1503">
        <f>SUM('別紙様式2-2（４・５月分）'!P239:P241)</f>
        <v>0</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5"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1"/>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35"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IFERROR(IF(AND(OR(N314="",N315="",N317=""),U314=""),0,ROUNDDOWN(ROUNDDOWN(ROUND(L314*VLOOKUP(K314,【参考】数式用!$A$5:$AB$27,MATCH("新加算Ⅳ",【参考】数式用!$B$4:$AB$4,0)+1,0),0)*M314,0)*AG316*0.5,0)),"")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1"/>
      <c r="AV316" s="1489" t="str">
        <f>IF(K314&lt;&gt;"","V列に色付け","")</f>
        <v/>
      </c>
      <c r="AW316" s="1514"/>
      <c r="AX316" s="1503"/>
      <c r="AY316"/>
      <c r="AZ316"/>
      <c r="BA316"/>
      <c r="BB316"/>
      <c r="BC316"/>
      <c r="BD316"/>
      <c r="BE316"/>
      <c r="BF316"/>
      <c r="BG316"/>
      <c r="BH316"/>
      <c r="BI316"/>
      <c r="BJ316"/>
      <c r="BK316"/>
      <c r="BL316" s="535" t="str">
        <f>G314</f>
        <v/>
      </c>
    </row>
    <row r="317" spans="1:64" ht="30" customHeight="1" thickBot="1">
      <c r="A317" s="1224"/>
      <c r="B317" s="1373"/>
      <c r="C317" s="1374"/>
      <c r="D317" s="1374"/>
      <c r="E317" s="1374"/>
      <c r="F317" s="1375"/>
      <c r="G317" s="1264"/>
      <c r="H317" s="1264"/>
      <c r="I317" s="1264"/>
      <c r="J317" s="1370"/>
      <c r="K317" s="1264"/>
      <c r="L317" s="1245"/>
      <c r="M317" s="1372"/>
      <c r="N317" s="640"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9"/>
      <c r="AW317" s="642" t="str">
        <f>IF('別紙様式2-2（４・５月分）'!O241="","",'別紙様式2-2（４・５月分）'!O241)</f>
        <v/>
      </c>
      <c r="AX317" s="1503"/>
      <c r="AY317"/>
      <c r="AZ317"/>
      <c r="BA317"/>
      <c r="BB317"/>
      <c r="BC317"/>
      <c r="BD317"/>
      <c r="BE317"/>
      <c r="BF317"/>
      <c r="BG317"/>
      <c r="BH317"/>
      <c r="BI317"/>
      <c r="BJ317"/>
      <c r="BK317"/>
      <c r="BL317" s="535"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IFERROR(IF(AND(OR(N318="",N319="",N321=""),U318=""),0,ROUNDDOWN(ROUNDDOWN(ROUND(L318*VLOOKUP(K318,【参考】数式用!$A$5:$AB$27,MATCH("新加算Ⅳ",【参考】数式用!$B$4:$AB$4,0)+1,0),0)*M318,0)*AG318*0.5,0)),"")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48" t="str">
        <f t="shared" si="268"/>
        <v/>
      </c>
      <c r="AU318" s="641"/>
      <c r="AV318" s="1489" t="str">
        <f>IF(K318&lt;&gt;"","V列に色付け","")</f>
        <v/>
      </c>
      <c r="AW318" s="642" t="str">
        <f>IF('別紙様式2-2（４・５月分）'!O242="","",'別紙様式2-2（４・５月分）'!O242)</f>
        <v/>
      </c>
      <c r="AX318" s="1503">
        <f>SUM('別紙様式2-2（４・５月分）'!P242:P244)</f>
        <v>0</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5"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1"/>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35"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IFERROR(IF(AND(OR(N318="",N319="",N321=""),U318=""),0,ROUNDDOWN(ROUNDDOWN(ROUND(L318*VLOOKUP(K318,【参考】数式用!$A$5:$AB$27,MATCH("新加算Ⅳ",【参考】数式用!$B$4:$AB$4,0)+1,0),0)*M318,0)*AG320*0.5,0)),"")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1"/>
      <c r="AV320" s="1489" t="str">
        <f>IF(K318&lt;&gt;"","V列に色付け","")</f>
        <v/>
      </c>
      <c r="AW320" s="1514"/>
      <c r="AX320" s="1503"/>
      <c r="AY320"/>
      <c r="AZ320"/>
      <c r="BA320"/>
      <c r="BB320"/>
      <c r="BC320"/>
      <c r="BD320"/>
      <c r="BE320"/>
      <c r="BF320"/>
      <c r="BG320"/>
      <c r="BH320"/>
      <c r="BI320"/>
      <c r="BJ320"/>
      <c r="BK320"/>
      <c r="BL320" s="535" t="str">
        <f>G318</f>
        <v/>
      </c>
    </row>
    <row r="321" spans="1:64" ht="30" customHeight="1" thickBot="1">
      <c r="A321" s="1224"/>
      <c r="B321" s="1373"/>
      <c r="C321" s="1374"/>
      <c r="D321" s="1374"/>
      <c r="E321" s="1374"/>
      <c r="F321" s="1375"/>
      <c r="G321" s="1264"/>
      <c r="H321" s="1264"/>
      <c r="I321" s="1264"/>
      <c r="J321" s="1370"/>
      <c r="K321" s="1264"/>
      <c r="L321" s="1245"/>
      <c r="M321" s="1248"/>
      <c r="N321" s="640"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9"/>
      <c r="AW321" s="642" t="str">
        <f>IF('別紙様式2-2（４・５月分）'!O244="","",'別紙様式2-2（４・５月分）'!O244)</f>
        <v/>
      </c>
      <c r="AX321" s="1503"/>
      <c r="AY321"/>
      <c r="AZ321"/>
      <c r="BA321"/>
      <c r="BB321"/>
      <c r="BC321"/>
      <c r="BD321"/>
      <c r="BE321"/>
      <c r="BF321"/>
      <c r="BG321"/>
      <c r="BH321"/>
      <c r="BI321"/>
      <c r="BJ321"/>
      <c r="BK321"/>
      <c r="BL321" s="535"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IFERROR(IF(AND(OR(N322="",N323="",N325=""),U322=""),0,ROUNDDOWN(ROUNDDOWN(ROUND(L322*VLOOKUP(K322,【参考】数式用!$A$5:$AB$27,MATCH("新加算Ⅳ",【参考】数式用!$B$4:$AB$4,0)+1,0),0)*M322,0)*AG322*0.5,0)),"")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48" t="str">
        <f t="shared" si="268"/>
        <v/>
      </c>
      <c r="AU322" s="641"/>
      <c r="AV322" s="1489" t="str">
        <f>IF(K322&lt;&gt;"","V列に色付け","")</f>
        <v/>
      </c>
      <c r="AW322" s="642" t="str">
        <f>IF('別紙様式2-2（４・５月分）'!O245="","",'別紙様式2-2（４・５月分）'!O245)</f>
        <v/>
      </c>
      <c r="AX322" s="1503">
        <f>SUM('別紙様式2-2（４・５月分）'!P245:P247)</f>
        <v>0</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5"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1"/>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35"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IFERROR(IF(AND(OR(N322="",N323="",N325=""),U322=""),0,ROUNDDOWN(ROUNDDOWN(ROUND(L322*VLOOKUP(K322,【参考】数式用!$A$5:$AB$27,MATCH("新加算Ⅳ",【参考】数式用!$B$4:$AB$4,0)+1,0),0)*M322,0)*AG324*0.5,0)),"")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1"/>
      <c r="AV324" s="1489" t="str">
        <f>IF(K322&lt;&gt;"","V列に色付け","")</f>
        <v/>
      </c>
      <c r="AW324" s="1514"/>
      <c r="AX324" s="1503"/>
      <c r="AY324"/>
      <c r="AZ324"/>
      <c r="BA324"/>
      <c r="BB324"/>
      <c r="BC324"/>
      <c r="BD324"/>
      <c r="BE324"/>
      <c r="BF324"/>
      <c r="BG324"/>
      <c r="BH324"/>
      <c r="BI324"/>
      <c r="BJ324"/>
      <c r="BK324"/>
      <c r="BL324" s="535" t="str">
        <f>G322</f>
        <v/>
      </c>
    </row>
    <row r="325" spans="1:64" ht="30" customHeight="1" thickBot="1">
      <c r="A325" s="1224"/>
      <c r="B325" s="1373"/>
      <c r="C325" s="1374"/>
      <c r="D325" s="1374"/>
      <c r="E325" s="1374"/>
      <c r="F325" s="1375"/>
      <c r="G325" s="1264"/>
      <c r="H325" s="1264"/>
      <c r="I325" s="1264"/>
      <c r="J325" s="1370"/>
      <c r="K325" s="1264"/>
      <c r="L325" s="1245"/>
      <c r="M325" s="1372"/>
      <c r="N325" s="640"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9"/>
      <c r="AW325" s="642" t="str">
        <f>IF('別紙様式2-2（４・５月分）'!O247="","",'別紙様式2-2（４・５月分）'!O247)</f>
        <v/>
      </c>
      <c r="AX325" s="1503"/>
      <c r="AY325"/>
      <c r="AZ325"/>
      <c r="BA325"/>
      <c r="BB325"/>
      <c r="BC325"/>
      <c r="BD325"/>
      <c r="BE325"/>
      <c r="BF325"/>
      <c r="BG325"/>
      <c r="BH325"/>
      <c r="BI325"/>
      <c r="BJ325"/>
      <c r="BK325"/>
      <c r="BL325" s="535"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IFERROR(IF(AND(OR(N326="",N327="",N329=""),U326=""),0,ROUNDDOWN(ROUNDDOWN(ROUND(L326*VLOOKUP(K326,【参考】数式用!$A$5:$AB$27,MATCH("新加算Ⅳ",【参考】数式用!$B$4:$AB$4,0)+1,0),0)*M326,0)*AG326*0.5,0)),"")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48" t="str">
        <f t="shared" si="268"/>
        <v/>
      </c>
      <c r="AU326" s="641"/>
      <c r="AV326" s="1489" t="str">
        <f>IF(K326&lt;&gt;"","V列に色付け","")</f>
        <v/>
      </c>
      <c r="AW326" s="642" t="str">
        <f>IF('別紙様式2-2（４・５月分）'!O248="","",'別紙様式2-2（４・５月分）'!O248)</f>
        <v/>
      </c>
      <c r="AX326" s="1503">
        <f>SUM('別紙様式2-2（４・５月分）'!P248:P250)</f>
        <v>0</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5"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1"/>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35"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IFERROR(IF(AND(OR(N326="",N327="",N329=""),U326=""),0,ROUNDDOWN(ROUNDDOWN(ROUND(L326*VLOOKUP(K326,【参考】数式用!$A$5:$AB$27,MATCH("新加算Ⅳ",【参考】数式用!$B$4:$AB$4,0)+1,0),0)*M326,0)*AG328*0.5,0)),"")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1"/>
      <c r="AV328" s="1489" t="str">
        <f>IF(K326&lt;&gt;"","V列に色付け","")</f>
        <v/>
      </c>
      <c r="AW328" s="1514"/>
      <c r="AX328" s="1503"/>
      <c r="AY328"/>
      <c r="AZ328"/>
      <c r="BA328"/>
      <c r="BB328"/>
      <c r="BC328"/>
      <c r="BD328"/>
      <c r="BE328"/>
      <c r="BF328"/>
      <c r="BG328"/>
      <c r="BH328"/>
      <c r="BI328"/>
      <c r="BJ328"/>
      <c r="BK328"/>
      <c r="BL328" s="535" t="str">
        <f>G326</f>
        <v/>
      </c>
    </row>
    <row r="329" spans="1:64" ht="30" customHeight="1" thickBot="1">
      <c r="A329" s="1224"/>
      <c r="B329" s="1373"/>
      <c r="C329" s="1374"/>
      <c r="D329" s="1374"/>
      <c r="E329" s="1374"/>
      <c r="F329" s="1375"/>
      <c r="G329" s="1264"/>
      <c r="H329" s="1264"/>
      <c r="I329" s="1264"/>
      <c r="J329" s="1370"/>
      <c r="K329" s="1264"/>
      <c r="L329" s="1245"/>
      <c r="M329" s="1248"/>
      <c r="N329" s="640"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9"/>
      <c r="AW329" s="642" t="str">
        <f>IF('別紙様式2-2（４・５月分）'!O250="","",'別紙様式2-2（４・５月分）'!O250)</f>
        <v/>
      </c>
      <c r="AX329" s="1503"/>
      <c r="AY329"/>
      <c r="AZ329"/>
      <c r="BA329"/>
      <c r="BB329"/>
      <c r="BC329"/>
      <c r="BD329"/>
      <c r="BE329"/>
      <c r="BF329"/>
      <c r="BG329"/>
      <c r="BH329"/>
      <c r="BI329"/>
      <c r="BJ329"/>
      <c r="BK329"/>
      <c r="BL329" s="535"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IFERROR(IF(AND(OR(N330="",N331="",N333=""),U330=""),0,ROUNDDOWN(ROUNDDOWN(ROUND(L330*VLOOKUP(K330,【参考】数式用!$A$5:$AB$27,MATCH("新加算Ⅳ",【参考】数式用!$B$4:$AB$4,0)+1,0),0)*M330,0)*AG330*0.5,0)),"")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48" t="str">
        <f t="shared" si="268"/>
        <v/>
      </c>
      <c r="AU330" s="641"/>
      <c r="AV330" s="1489" t="str">
        <f>IF(K330&lt;&gt;"","V列に色付け","")</f>
        <v/>
      </c>
      <c r="AW330" s="642" t="str">
        <f>IF('別紙様式2-2（４・５月分）'!O251="","",'別紙様式2-2（４・５月分）'!O251)</f>
        <v/>
      </c>
      <c r="AX330" s="1503">
        <f>SUM('別紙様式2-2（４・５月分）'!P251:P253)</f>
        <v>0</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5"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1"/>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35"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IFERROR(IF(AND(OR(N330="",N331="",N333=""),U330=""),0,ROUNDDOWN(ROUNDDOWN(ROUND(L330*VLOOKUP(K330,【参考】数式用!$A$5:$AB$27,MATCH("新加算Ⅳ",【参考】数式用!$B$4:$AB$4,0)+1,0),0)*M330,0)*AG332*0.5,0)),"")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1"/>
      <c r="AV332" s="1489" t="str">
        <f>IF(K330&lt;&gt;"","V列に色付け","")</f>
        <v/>
      </c>
      <c r="AW332" s="1514"/>
      <c r="AX332" s="1503"/>
      <c r="AY332"/>
      <c r="AZ332"/>
      <c r="BA332"/>
      <c r="BB332"/>
      <c r="BC332"/>
      <c r="BD332"/>
      <c r="BE332"/>
      <c r="BF332"/>
      <c r="BG332"/>
      <c r="BH332"/>
      <c r="BI332"/>
      <c r="BJ332"/>
      <c r="BK332"/>
      <c r="BL332" s="535" t="str">
        <f>G330</f>
        <v/>
      </c>
    </row>
    <row r="333" spans="1:64" ht="30" customHeight="1" thickBot="1">
      <c r="A333" s="1224"/>
      <c r="B333" s="1373"/>
      <c r="C333" s="1374"/>
      <c r="D333" s="1374"/>
      <c r="E333" s="1374"/>
      <c r="F333" s="1375"/>
      <c r="G333" s="1264"/>
      <c r="H333" s="1264"/>
      <c r="I333" s="1264"/>
      <c r="J333" s="1370"/>
      <c r="K333" s="1264"/>
      <c r="L333" s="1245"/>
      <c r="M333" s="1372"/>
      <c r="N333" s="640"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9"/>
      <c r="AW333" s="642" t="str">
        <f>IF('別紙様式2-2（４・５月分）'!O253="","",'別紙様式2-2（４・５月分）'!O253)</f>
        <v/>
      </c>
      <c r="AX333" s="1503"/>
      <c r="AY333"/>
      <c r="AZ333"/>
      <c r="BA333"/>
      <c r="BB333"/>
      <c r="BC333"/>
      <c r="BD333"/>
      <c r="BE333"/>
      <c r="BF333"/>
      <c r="BG333"/>
      <c r="BH333"/>
      <c r="BI333"/>
      <c r="BJ333"/>
      <c r="BK333"/>
      <c r="BL333" s="535"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IFERROR(IF(AND(OR(N334="",N335="",N337=""),U334=""),0,ROUNDDOWN(ROUNDDOWN(ROUND(L334*VLOOKUP(K334,【参考】数式用!$A$5:$AB$27,MATCH("新加算Ⅳ",【参考】数式用!$B$4:$AB$4,0)+1,0),0)*M334,0)*AG334*0.5,0)),"")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48" t="str">
        <f t="shared" si="268"/>
        <v/>
      </c>
      <c r="AU334" s="641"/>
      <c r="AV334" s="1489" t="str">
        <f>IF(K334&lt;&gt;"","V列に色付け","")</f>
        <v/>
      </c>
      <c r="AW334" s="642" t="str">
        <f>IF('別紙様式2-2（４・５月分）'!O254="","",'別紙様式2-2（４・５月分）'!O254)</f>
        <v/>
      </c>
      <c r="AX334" s="1503">
        <f>SUM('別紙様式2-2（４・５月分）'!P254:P256)</f>
        <v>0</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5"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1"/>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35"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IFERROR(IF(AND(OR(N334="",N335="",N337=""),U334=""),0,ROUNDDOWN(ROUNDDOWN(ROUND(L334*VLOOKUP(K334,【参考】数式用!$A$5:$AB$27,MATCH("新加算Ⅳ",【参考】数式用!$B$4:$AB$4,0)+1,0),0)*M334,0)*AG336*0.5,0)),"")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1"/>
      <c r="AV336" s="1489" t="str">
        <f>IF(K334&lt;&gt;"","V列に色付け","")</f>
        <v/>
      </c>
      <c r="AW336" s="1514"/>
      <c r="AX336" s="1503"/>
      <c r="AY336"/>
      <c r="AZ336"/>
      <c r="BA336"/>
      <c r="BB336"/>
      <c r="BC336"/>
      <c r="BD336"/>
      <c r="BE336"/>
      <c r="BF336"/>
      <c r="BG336"/>
      <c r="BH336"/>
      <c r="BI336"/>
      <c r="BJ336"/>
      <c r="BK336"/>
      <c r="BL336" s="535" t="str">
        <f>G334</f>
        <v/>
      </c>
    </row>
    <row r="337" spans="1:64" ht="30" customHeight="1" thickBot="1">
      <c r="A337" s="1224"/>
      <c r="B337" s="1373"/>
      <c r="C337" s="1374"/>
      <c r="D337" s="1374"/>
      <c r="E337" s="1374"/>
      <c r="F337" s="1375"/>
      <c r="G337" s="1264"/>
      <c r="H337" s="1264"/>
      <c r="I337" s="1264"/>
      <c r="J337" s="1370"/>
      <c r="K337" s="1264"/>
      <c r="L337" s="1245"/>
      <c r="M337" s="1248"/>
      <c r="N337" s="640"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9"/>
      <c r="AW337" s="642" t="str">
        <f>IF('別紙様式2-2（４・５月分）'!O256="","",'別紙様式2-2（４・５月分）'!O256)</f>
        <v/>
      </c>
      <c r="AX337" s="1503"/>
      <c r="AY337"/>
      <c r="AZ337"/>
      <c r="BA337"/>
      <c r="BB337"/>
      <c r="BC337"/>
      <c r="BD337"/>
      <c r="BE337"/>
      <c r="BF337"/>
      <c r="BG337"/>
      <c r="BH337"/>
      <c r="BI337"/>
      <c r="BJ337"/>
      <c r="BK337"/>
      <c r="BL337" s="535"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IFERROR(IF(AND(OR(N338="",N339="",N341=""),U338=""),0,ROUNDDOWN(ROUNDDOWN(ROUND(L338*VLOOKUP(K338,【参考】数式用!$A$5:$AB$27,MATCH("新加算Ⅳ",【参考】数式用!$B$4:$AB$4,0)+1,0),0)*M338,0)*AG338*0.5,0)),"")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48" t="str">
        <f t="shared" ref="AT338:AT398" si="335">IF(AV338="","",IF(V338&lt;O338,"！加算の要件上は問題ありませんが、令和６年４・５月と比較して令和６年６月に加算率が下がる計画になっています。",""))</f>
        <v/>
      </c>
      <c r="AU338" s="641"/>
      <c r="AV338" s="1489" t="str">
        <f>IF(K338&lt;&gt;"","V列に色付け","")</f>
        <v/>
      </c>
      <c r="AW338" s="642" t="str">
        <f>IF('別紙様式2-2（４・５月分）'!O257="","",'別紙様式2-2（４・５月分）'!O257)</f>
        <v/>
      </c>
      <c r="AX338" s="1503">
        <f>SUM('別紙様式2-2（４・５月分）'!P257:P259)</f>
        <v>0</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5"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35"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IFERROR(IF(AND(OR(N338="",N339="",N341=""),U338=""),0,ROUNDDOWN(ROUNDDOWN(ROUND(L338*VLOOKUP(K338,【参考】数式用!$A$5:$AB$27,MATCH("新加算Ⅳ",【参考】数式用!$B$4:$AB$4,0)+1,0),0)*M338,0)*AG340*0.5,0)),"")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1"/>
      <c r="AV340" s="1489" t="str">
        <f>IF(K338&lt;&gt;"","V列に色付け","")</f>
        <v/>
      </c>
      <c r="AW340" s="1514"/>
      <c r="AX340" s="1503"/>
      <c r="AY340"/>
      <c r="AZ340"/>
      <c r="BA340"/>
      <c r="BB340"/>
      <c r="BC340"/>
      <c r="BD340"/>
      <c r="BE340"/>
      <c r="BF340"/>
      <c r="BG340"/>
      <c r="BH340"/>
      <c r="BI340"/>
      <c r="BJ340"/>
      <c r="BK340"/>
      <c r="BL340" s="535" t="str">
        <f>G338</f>
        <v/>
      </c>
    </row>
    <row r="341" spans="1:64" ht="30" customHeight="1" thickBot="1">
      <c r="A341" s="1224"/>
      <c r="B341" s="1373"/>
      <c r="C341" s="1374"/>
      <c r="D341" s="1374"/>
      <c r="E341" s="1374"/>
      <c r="F341" s="1375"/>
      <c r="G341" s="1264"/>
      <c r="H341" s="1264"/>
      <c r="I341" s="1264"/>
      <c r="J341" s="1370"/>
      <c r="K341" s="1264"/>
      <c r="L341" s="1245"/>
      <c r="M341" s="1372"/>
      <c r="N341" s="640"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9"/>
      <c r="AW341" s="642" t="str">
        <f>IF('別紙様式2-2（４・５月分）'!O259="","",'別紙様式2-2（４・５月分）'!O259)</f>
        <v/>
      </c>
      <c r="AX341" s="1503"/>
      <c r="AY341"/>
      <c r="AZ341"/>
      <c r="BA341"/>
      <c r="BB341"/>
      <c r="BC341"/>
      <c r="BD341"/>
      <c r="BE341"/>
      <c r="BF341"/>
      <c r="BG341"/>
      <c r="BH341"/>
      <c r="BI341"/>
      <c r="BJ341"/>
      <c r="BK341"/>
      <c r="BL341" s="535"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IFERROR(IF(AND(OR(N342="",N343="",N345=""),U342=""),0,ROUNDDOWN(ROUNDDOWN(ROUND(L342*VLOOKUP(K342,【参考】数式用!$A$5:$AB$27,MATCH("新加算Ⅳ",【参考】数式用!$B$4:$AB$4,0)+1,0),0)*M342,0)*AG342*0.5,0)),"")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48" t="str">
        <f t="shared" si="335"/>
        <v/>
      </c>
      <c r="AU342" s="641"/>
      <c r="AV342" s="1489" t="str">
        <f>IF(K342&lt;&gt;"","V列に色付け","")</f>
        <v/>
      </c>
      <c r="AW342" s="642" t="str">
        <f>IF('別紙様式2-2（４・５月分）'!O260="","",'別紙様式2-2（４・５月分）'!O260)</f>
        <v/>
      </c>
      <c r="AX342" s="1503">
        <f>SUM('別紙様式2-2（４・５月分）'!P260:P262)</f>
        <v>0</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5"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1"/>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35"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IFERROR(IF(AND(OR(N342="",N343="",N345=""),U342=""),0,ROUNDDOWN(ROUNDDOWN(ROUND(L342*VLOOKUP(K342,【参考】数式用!$A$5:$AB$27,MATCH("新加算Ⅳ",【参考】数式用!$B$4:$AB$4,0)+1,0),0)*M342,0)*AG344*0.5,0)),"")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1"/>
      <c r="AV344" s="1489" t="str">
        <f>IF(K342&lt;&gt;"","V列に色付け","")</f>
        <v/>
      </c>
      <c r="AW344" s="1514"/>
      <c r="AX344" s="1503"/>
      <c r="AY344"/>
      <c r="AZ344"/>
      <c r="BA344"/>
      <c r="BB344"/>
      <c r="BC344"/>
      <c r="BD344"/>
      <c r="BE344"/>
      <c r="BF344"/>
      <c r="BG344"/>
      <c r="BH344"/>
      <c r="BI344"/>
      <c r="BJ344"/>
      <c r="BK344"/>
      <c r="BL344" s="535" t="str">
        <f>G342</f>
        <v/>
      </c>
    </row>
    <row r="345" spans="1:64" ht="30" customHeight="1" thickBot="1">
      <c r="A345" s="1224"/>
      <c r="B345" s="1373"/>
      <c r="C345" s="1374"/>
      <c r="D345" s="1374"/>
      <c r="E345" s="1374"/>
      <c r="F345" s="1375"/>
      <c r="G345" s="1264"/>
      <c r="H345" s="1264"/>
      <c r="I345" s="1264"/>
      <c r="J345" s="1370"/>
      <c r="K345" s="1264"/>
      <c r="L345" s="1245"/>
      <c r="M345" s="1248"/>
      <c r="N345" s="640"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9"/>
      <c r="AW345" s="642" t="str">
        <f>IF('別紙様式2-2（４・５月分）'!O262="","",'別紙様式2-2（４・５月分）'!O262)</f>
        <v/>
      </c>
      <c r="AX345" s="1503"/>
      <c r="AY345"/>
      <c r="AZ345"/>
      <c r="BA345"/>
      <c r="BB345"/>
      <c r="BC345"/>
      <c r="BD345"/>
      <c r="BE345"/>
      <c r="BF345"/>
      <c r="BG345"/>
      <c r="BH345"/>
      <c r="BI345"/>
      <c r="BJ345"/>
      <c r="BK345"/>
      <c r="BL345" s="535"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IFERROR(IF(AND(OR(N346="",N347="",N349=""),U346=""),0,ROUNDDOWN(ROUNDDOWN(ROUND(L346*VLOOKUP(K346,【参考】数式用!$A$5:$AB$27,MATCH("新加算Ⅳ",【参考】数式用!$B$4:$AB$4,0)+1,0),0)*M346,0)*AG346*0.5,0)),"")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48" t="str">
        <f t="shared" si="335"/>
        <v/>
      </c>
      <c r="AU346" s="641"/>
      <c r="AV346" s="1489" t="str">
        <f>IF(K346&lt;&gt;"","V列に色付け","")</f>
        <v/>
      </c>
      <c r="AW346" s="642" t="str">
        <f>IF('別紙様式2-2（４・５月分）'!O263="","",'別紙様式2-2（４・５月分）'!O263)</f>
        <v/>
      </c>
      <c r="AX346" s="1503">
        <f>SUM('別紙様式2-2（４・５月分）'!P263:P265)</f>
        <v>0</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5"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1"/>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35"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IFERROR(IF(AND(OR(N346="",N347="",N349=""),U346=""),0,ROUNDDOWN(ROUNDDOWN(ROUND(L346*VLOOKUP(K346,【参考】数式用!$A$5:$AB$27,MATCH("新加算Ⅳ",【参考】数式用!$B$4:$AB$4,0)+1,0),0)*M346,0)*AG348*0.5,0)),"")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1"/>
      <c r="AV348" s="1489" t="str">
        <f>IF(K346&lt;&gt;"","V列に色付け","")</f>
        <v/>
      </c>
      <c r="AW348" s="1514"/>
      <c r="AX348" s="1503"/>
      <c r="AY348"/>
      <c r="AZ348"/>
      <c r="BA348"/>
      <c r="BB348"/>
      <c r="BC348"/>
      <c r="BD348"/>
      <c r="BE348"/>
      <c r="BF348"/>
      <c r="BG348"/>
      <c r="BH348"/>
      <c r="BI348"/>
      <c r="BJ348"/>
      <c r="BK348"/>
      <c r="BL348" s="535" t="str">
        <f>G346</f>
        <v/>
      </c>
    </row>
    <row r="349" spans="1:64" ht="30" customHeight="1" thickBot="1">
      <c r="A349" s="1224"/>
      <c r="B349" s="1373"/>
      <c r="C349" s="1374"/>
      <c r="D349" s="1374"/>
      <c r="E349" s="1374"/>
      <c r="F349" s="1375"/>
      <c r="G349" s="1264"/>
      <c r="H349" s="1264"/>
      <c r="I349" s="1264"/>
      <c r="J349" s="1370"/>
      <c r="K349" s="1264"/>
      <c r="L349" s="1245"/>
      <c r="M349" s="1372"/>
      <c r="N349" s="640"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9"/>
      <c r="AW349" s="642" t="str">
        <f>IF('別紙様式2-2（４・５月分）'!O265="","",'別紙様式2-2（４・５月分）'!O265)</f>
        <v/>
      </c>
      <c r="AX349" s="1503"/>
      <c r="AY349"/>
      <c r="AZ349"/>
      <c r="BA349"/>
      <c r="BB349"/>
      <c r="BC349"/>
      <c r="BD349"/>
      <c r="BE349"/>
      <c r="BF349"/>
      <c r="BG349"/>
      <c r="BH349"/>
      <c r="BI349"/>
      <c r="BJ349"/>
      <c r="BK349"/>
      <c r="BL349" s="535"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IFERROR(IF(AND(OR(N350="",N351="",N353=""),U350=""),0,ROUNDDOWN(ROUNDDOWN(ROUND(L350*VLOOKUP(K350,【参考】数式用!$A$5:$AB$27,MATCH("新加算Ⅳ",【参考】数式用!$B$4:$AB$4,0)+1,0),0)*M350,0)*AG350*0.5,0)),"")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48" t="str">
        <f t="shared" si="335"/>
        <v/>
      </c>
      <c r="AU350" s="641"/>
      <c r="AV350" s="1489" t="str">
        <f>IF(K350&lt;&gt;"","V列に色付け","")</f>
        <v/>
      </c>
      <c r="AW350" s="642" t="str">
        <f>IF('別紙様式2-2（４・５月分）'!O266="","",'別紙様式2-2（４・５月分）'!O266)</f>
        <v/>
      </c>
      <c r="AX350" s="1503">
        <f>SUM('別紙様式2-2（４・５月分）'!P266:P268)</f>
        <v>0</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5"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1"/>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35"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IFERROR(IF(AND(OR(N350="",N351="",N353=""),U350=""),0,ROUNDDOWN(ROUNDDOWN(ROUND(L350*VLOOKUP(K350,【参考】数式用!$A$5:$AB$27,MATCH("新加算Ⅳ",【参考】数式用!$B$4:$AB$4,0)+1,0),0)*M350,0)*AG352*0.5,0)),"")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1"/>
      <c r="AV352" s="1489" t="str">
        <f>IF(K350&lt;&gt;"","V列に色付け","")</f>
        <v/>
      </c>
      <c r="AW352" s="1514"/>
      <c r="AX352" s="1503"/>
      <c r="AY352"/>
      <c r="AZ352"/>
      <c r="BA352"/>
      <c r="BB352"/>
      <c r="BC352"/>
      <c r="BD352"/>
      <c r="BE352"/>
      <c r="BF352"/>
      <c r="BG352"/>
      <c r="BH352"/>
      <c r="BI352"/>
      <c r="BJ352"/>
      <c r="BK352"/>
      <c r="BL352" s="535" t="str">
        <f>G350</f>
        <v/>
      </c>
    </row>
    <row r="353" spans="1:64" ht="30" customHeight="1" thickBot="1">
      <c r="A353" s="1224"/>
      <c r="B353" s="1373"/>
      <c r="C353" s="1374"/>
      <c r="D353" s="1374"/>
      <c r="E353" s="1374"/>
      <c r="F353" s="1375"/>
      <c r="G353" s="1264"/>
      <c r="H353" s="1264"/>
      <c r="I353" s="1264"/>
      <c r="J353" s="1370"/>
      <c r="K353" s="1264"/>
      <c r="L353" s="1245"/>
      <c r="M353" s="1248"/>
      <c r="N353" s="640"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9"/>
      <c r="AW353" s="642" t="str">
        <f>IF('別紙様式2-2（４・５月分）'!O268="","",'別紙様式2-2（４・５月分）'!O268)</f>
        <v/>
      </c>
      <c r="AX353" s="1503"/>
      <c r="AY353"/>
      <c r="AZ353"/>
      <c r="BA353"/>
      <c r="BB353"/>
      <c r="BC353"/>
      <c r="BD353"/>
      <c r="BE353"/>
      <c r="BF353"/>
      <c r="BG353"/>
      <c r="BH353"/>
      <c r="BI353"/>
      <c r="BJ353"/>
      <c r="BK353"/>
      <c r="BL353" s="535"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IFERROR(IF(AND(OR(N354="",N355="",N357=""),U354=""),0,ROUNDDOWN(ROUNDDOWN(ROUND(L354*VLOOKUP(K354,【参考】数式用!$A$5:$AB$27,MATCH("新加算Ⅳ",【参考】数式用!$B$4:$AB$4,0)+1,0),0)*M354,0)*AG354*0.5,0)),"")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48" t="str">
        <f t="shared" si="335"/>
        <v/>
      </c>
      <c r="AU354" s="641"/>
      <c r="AV354" s="1489" t="str">
        <f>IF(K354&lt;&gt;"","V列に色付け","")</f>
        <v/>
      </c>
      <c r="AW354" s="642" t="str">
        <f>IF('別紙様式2-2（４・５月分）'!O269="","",'別紙様式2-2（４・５月分）'!O269)</f>
        <v/>
      </c>
      <c r="AX354" s="1503">
        <f>SUM('別紙様式2-2（４・５月分）'!P269:P271)</f>
        <v>0</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5"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1"/>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35"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IFERROR(IF(AND(OR(N354="",N355="",N357=""),U354=""),0,ROUNDDOWN(ROUNDDOWN(ROUND(L354*VLOOKUP(K354,【参考】数式用!$A$5:$AB$27,MATCH("新加算Ⅳ",【参考】数式用!$B$4:$AB$4,0)+1,0),0)*M354,0)*AG356*0.5,0)),"")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1"/>
      <c r="AV356" s="1489" t="str">
        <f>IF(K354&lt;&gt;"","V列に色付け","")</f>
        <v/>
      </c>
      <c r="AW356" s="1514"/>
      <c r="AX356" s="1503"/>
      <c r="AY356"/>
      <c r="AZ356"/>
      <c r="BA356"/>
      <c r="BB356"/>
      <c r="BC356"/>
      <c r="BD356"/>
      <c r="BE356"/>
      <c r="BF356"/>
      <c r="BG356"/>
      <c r="BH356"/>
      <c r="BI356"/>
      <c r="BJ356"/>
      <c r="BK356"/>
      <c r="BL356" s="535" t="str">
        <f>G354</f>
        <v/>
      </c>
    </row>
    <row r="357" spans="1:64" ht="30" customHeight="1" thickBot="1">
      <c r="A357" s="1224"/>
      <c r="B357" s="1373"/>
      <c r="C357" s="1374"/>
      <c r="D357" s="1374"/>
      <c r="E357" s="1374"/>
      <c r="F357" s="1375"/>
      <c r="G357" s="1264"/>
      <c r="H357" s="1264"/>
      <c r="I357" s="1264"/>
      <c r="J357" s="1370"/>
      <c r="K357" s="1264"/>
      <c r="L357" s="1245"/>
      <c r="M357" s="1372"/>
      <c r="N357" s="640"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9"/>
      <c r="AW357" s="642" t="str">
        <f>IF('別紙様式2-2（４・５月分）'!O271="","",'別紙様式2-2（４・５月分）'!O271)</f>
        <v/>
      </c>
      <c r="AX357" s="1503"/>
      <c r="AY357"/>
      <c r="AZ357"/>
      <c r="BA357"/>
      <c r="BB357"/>
      <c r="BC357"/>
      <c r="BD357"/>
      <c r="BE357"/>
      <c r="BF357"/>
      <c r="BG357"/>
      <c r="BH357"/>
      <c r="BI357"/>
      <c r="BJ357"/>
      <c r="BK357"/>
      <c r="BL357" s="535"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IFERROR(IF(AND(OR(N358="",N359="",N361=""),U358=""),0,ROUNDDOWN(ROUNDDOWN(ROUND(L358*VLOOKUP(K358,【参考】数式用!$A$5:$AB$27,MATCH("新加算Ⅳ",【参考】数式用!$B$4:$AB$4,0)+1,0),0)*M358,0)*AG358*0.5,0)),"")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48" t="str">
        <f t="shared" si="335"/>
        <v/>
      </c>
      <c r="AU358" s="641"/>
      <c r="AV358" s="1489" t="str">
        <f>IF(K358&lt;&gt;"","V列に色付け","")</f>
        <v/>
      </c>
      <c r="AW358" s="642" t="str">
        <f>IF('別紙様式2-2（４・５月分）'!O272="","",'別紙様式2-2（４・５月分）'!O272)</f>
        <v/>
      </c>
      <c r="AX358" s="1503">
        <f>SUM('別紙様式2-2（４・５月分）'!P272:P274)</f>
        <v>0</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5"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1"/>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35"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IFERROR(IF(AND(OR(N358="",N359="",N361=""),U358=""),0,ROUNDDOWN(ROUNDDOWN(ROUND(L358*VLOOKUP(K358,【参考】数式用!$A$5:$AB$27,MATCH("新加算Ⅳ",【参考】数式用!$B$4:$AB$4,0)+1,0),0)*M358,0)*AG360*0.5,0)),"")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1"/>
      <c r="AV360" s="1489" t="str">
        <f>IF(K358&lt;&gt;"","V列に色付け","")</f>
        <v/>
      </c>
      <c r="AW360" s="1514"/>
      <c r="AX360" s="1503"/>
      <c r="AY360"/>
      <c r="AZ360"/>
      <c r="BA360"/>
      <c r="BB360"/>
      <c r="BC360"/>
      <c r="BD360"/>
      <c r="BE360"/>
      <c r="BF360"/>
      <c r="BG360"/>
      <c r="BH360"/>
      <c r="BI360"/>
      <c r="BJ360"/>
      <c r="BK360"/>
      <c r="BL360" s="535" t="str">
        <f>G358</f>
        <v/>
      </c>
    </row>
    <row r="361" spans="1:64" ht="30" customHeight="1" thickBot="1">
      <c r="A361" s="1224"/>
      <c r="B361" s="1373"/>
      <c r="C361" s="1374"/>
      <c r="D361" s="1374"/>
      <c r="E361" s="1374"/>
      <c r="F361" s="1375"/>
      <c r="G361" s="1264"/>
      <c r="H361" s="1264"/>
      <c r="I361" s="1264"/>
      <c r="J361" s="1370"/>
      <c r="K361" s="1264"/>
      <c r="L361" s="1245"/>
      <c r="M361" s="1248"/>
      <c r="N361" s="640"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9"/>
      <c r="AW361" s="642" t="str">
        <f>IF('別紙様式2-2（４・５月分）'!O274="","",'別紙様式2-2（４・５月分）'!O274)</f>
        <v/>
      </c>
      <c r="AX361" s="1503"/>
      <c r="AY361"/>
      <c r="AZ361"/>
      <c r="BA361"/>
      <c r="BB361"/>
      <c r="BC361"/>
      <c r="BD361"/>
      <c r="BE361"/>
      <c r="BF361"/>
      <c r="BG361"/>
      <c r="BH361"/>
      <c r="BI361"/>
      <c r="BJ361"/>
      <c r="BK361"/>
      <c r="BL361" s="535"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IFERROR(IF(AND(OR(N362="",N363="",N365=""),U362=""),0,ROUNDDOWN(ROUNDDOWN(ROUND(L362*VLOOKUP(K362,【参考】数式用!$A$5:$AB$27,MATCH("新加算Ⅳ",【参考】数式用!$B$4:$AB$4,0)+1,0),0)*M362,0)*AG362*0.5,0)),"")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48" t="str">
        <f t="shared" si="335"/>
        <v/>
      </c>
      <c r="AU362" s="641"/>
      <c r="AV362" s="1489" t="str">
        <f>IF(K362&lt;&gt;"","V列に色付け","")</f>
        <v/>
      </c>
      <c r="AW362" s="642" t="str">
        <f>IF('別紙様式2-2（４・５月分）'!O275="","",'別紙様式2-2（４・５月分）'!O275)</f>
        <v/>
      </c>
      <c r="AX362" s="1503">
        <f>SUM('別紙様式2-2（４・５月分）'!P275:P277)</f>
        <v>0</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5"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1"/>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35"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IFERROR(IF(AND(OR(N362="",N363="",N365=""),U362=""),0,ROUNDDOWN(ROUNDDOWN(ROUND(L362*VLOOKUP(K362,【参考】数式用!$A$5:$AB$27,MATCH("新加算Ⅳ",【参考】数式用!$B$4:$AB$4,0)+1,0),0)*M362,0)*AG364*0.5,0)),"")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1"/>
      <c r="AV364" s="1489" t="str">
        <f>IF(K362&lt;&gt;"","V列に色付け","")</f>
        <v/>
      </c>
      <c r="AW364" s="1514"/>
      <c r="AX364" s="1503"/>
      <c r="AY364"/>
      <c r="AZ364"/>
      <c r="BA364"/>
      <c r="BB364"/>
      <c r="BC364"/>
      <c r="BD364"/>
      <c r="BE364"/>
      <c r="BF364"/>
      <c r="BG364"/>
      <c r="BH364"/>
      <c r="BI364"/>
      <c r="BJ364"/>
      <c r="BK364"/>
      <c r="BL364" s="535" t="str">
        <f>G362</f>
        <v/>
      </c>
    </row>
    <row r="365" spans="1:64" ht="30" customHeight="1" thickBot="1">
      <c r="A365" s="1224"/>
      <c r="B365" s="1373"/>
      <c r="C365" s="1374"/>
      <c r="D365" s="1374"/>
      <c r="E365" s="1374"/>
      <c r="F365" s="1375"/>
      <c r="G365" s="1264"/>
      <c r="H365" s="1264"/>
      <c r="I365" s="1264"/>
      <c r="J365" s="1370"/>
      <c r="K365" s="1264"/>
      <c r="L365" s="1245"/>
      <c r="M365" s="1372"/>
      <c r="N365" s="640"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9"/>
      <c r="AW365" s="642" t="str">
        <f>IF('別紙様式2-2（４・５月分）'!O277="","",'別紙様式2-2（４・５月分）'!O277)</f>
        <v/>
      </c>
      <c r="AX365" s="1503"/>
      <c r="AY365"/>
      <c r="AZ365"/>
      <c r="BA365"/>
      <c r="BB365"/>
      <c r="BC365"/>
      <c r="BD365"/>
      <c r="BE365"/>
      <c r="BF365"/>
      <c r="BG365"/>
      <c r="BH365"/>
      <c r="BI365"/>
      <c r="BJ365"/>
      <c r="BK365"/>
      <c r="BL365" s="535"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IFERROR(IF(AND(OR(N366="",N367="",N369=""),U366=""),0,ROUNDDOWN(ROUNDDOWN(ROUND(L366*VLOOKUP(K366,【参考】数式用!$A$5:$AB$27,MATCH("新加算Ⅳ",【参考】数式用!$B$4:$AB$4,0)+1,0),0)*M366,0)*AG366*0.5,0)),"")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48" t="str">
        <f t="shared" si="335"/>
        <v/>
      </c>
      <c r="AU366" s="641"/>
      <c r="AV366" s="1489" t="str">
        <f>IF(K366&lt;&gt;"","V列に色付け","")</f>
        <v/>
      </c>
      <c r="AW366" s="642" t="str">
        <f>IF('別紙様式2-2（４・５月分）'!O278="","",'別紙様式2-2（４・５月分）'!O278)</f>
        <v/>
      </c>
      <c r="AX366" s="1503">
        <f>SUM('別紙様式2-2（４・５月分）'!P278:P280)</f>
        <v>0</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5"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1"/>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35"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IFERROR(IF(AND(OR(N366="",N367="",N369=""),U366=""),0,ROUNDDOWN(ROUNDDOWN(ROUND(L366*VLOOKUP(K366,【参考】数式用!$A$5:$AB$27,MATCH("新加算Ⅳ",【参考】数式用!$B$4:$AB$4,0)+1,0),0)*M366,0)*AG368*0.5,0)),"")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1"/>
      <c r="AV368" s="1489" t="str">
        <f>IF(K366&lt;&gt;"","V列に色付け","")</f>
        <v/>
      </c>
      <c r="AW368" s="1514"/>
      <c r="AX368" s="1503"/>
      <c r="AY368"/>
      <c r="AZ368"/>
      <c r="BA368"/>
      <c r="BB368"/>
      <c r="BC368"/>
      <c r="BD368"/>
      <c r="BE368"/>
      <c r="BF368"/>
      <c r="BG368"/>
      <c r="BH368"/>
      <c r="BI368"/>
      <c r="BJ368"/>
      <c r="BK368"/>
      <c r="BL368" s="535" t="str">
        <f>G366</f>
        <v/>
      </c>
    </row>
    <row r="369" spans="1:64" ht="30" customHeight="1" thickBot="1">
      <c r="A369" s="1224"/>
      <c r="B369" s="1373"/>
      <c r="C369" s="1374"/>
      <c r="D369" s="1374"/>
      <c r="E369" s="1374"/>
      <c r="F369" s="1375"/>
      <c r="G369" s="1264"/>
      <c r="H369" s="1264"/>
      <c r="I369" s="1264"/>
      <c r="J369" s="1370"/>
      <c r="K369" s="1264"/>
      <c r="L369" s="1245"/>
      <c r="M369" s="1248"/>
      <c r="N369" s="640"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9"/>
      <c r="AW369" s="642" t="str">
        <f>IF('別紙様式2-2（４・５月分）'!O280="","",'別紙様式2-2（４・５月分）'!O280)</f>
        <v/>
      </c>
      <c r="AX369" s="1503"/>
      <c r="AY369"/>
      <c r="AZ369"/>
      <c r="BA369"/>
      <c r="BB369"/>
      <c r="BC369"/>
      <c r="BD369"/>
      <c r="BE369"/>
      <c r="BF369"/>
      <c r="BG369"/>
      <c r="BH369"/>
      <c r="BI369"/>
      <c r="BJ369"/>
      <c r="BK369"/>
      <c r="BL369" s="535"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IFERROR(IF(AND(OR(N370="",N371="",N373=""),U370=""),0,ROUNDDOWN(ROUNDDOWN(ROUND(L370*VLOOKUP(K370,【参考】数式用!$A$5:$AB$27,MATCH("新加算Ⅳ",【参考】数式用!$B$4:$AB$4,0)+1,0),0)*M370,0)*AG370*0.5,0)),"")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48" t="str">
        <f t="shared" si="335"/>
        <v/>
      </c>
      <c r="AU370" s="641"/>
      <c r="AV370" s="1489" t="str">
        <f>IF(K370&lt;&gt;"","V列に色付け","")</f>
        <v/>
      </c>
      <c r="AW370" s="642" t="str">
        <f>IF('別紙様式2-2（４・５月分）'!O281="","",'別紙様式2-2（４・５月分）'!O281)</f>
        <v/>
      </c>
      <c r="AX370" s="1503">
        <f>SUM('別紙様式2-2（４・５月分）'!P281:P283)</f>
        <v>0</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5"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1"/>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35"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IFERROR(IF(AND(OR(N370="",N371="",N373=""),U370=""),0,ROUNDDOWN(ROUNDDOWN(ROUND(L370*VLOOKUP(K370,【参考】数式用!$A$5:$AB$27,MATCH("新加算Ⅳ",【参考】数式用!$B$4:$AB$4,0)+1,0),0)*M370,0)*AG372*0.5,0)),"")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1"/>
      <c r="AV372" s="1489" t="str">
        <f>IF(K370&lt;&gt;"","V列に色付け","")</f>
        <v/>
      </c>
      <c r="AW372" s="1514"/>
      <c r="AX372" s="1503"/>
      <c r="AY372"/>
      <c r="AZ372"/>
      <c r="BA372"/>
      <c r="BB372"/>
      <c r="BC372"/>
      <c r="BD372"/>
      <c r="BE372"/>
      <c r="BF372"/>
      <c r="BG372"/>
      <c r="BH372"/>
      <c r="BI372"/>
      <c r="BJ372"/>
      <c r="BK372"/>
      <c r="BL372" s="535" t="str">
        <f>G370</f>
        <v/>
      </c>
    </row>
    <row r="373" spans="1:64" ht="30" customHeight="1" thickBot="1">
      <c r="A373" s="1224"/>
      <c r="B373" s="1373"/>
      <c r="C373" s="1374"/>
      <c r="D373" s="1374"/>
      <c r="E373" s="1374"/>
      <c r="F373" s="1375"/>
      <c r="G373" s="1264"/>
      <c r="H373" s="1264"/>
      <c r="I373" s="1264"/>
      <c r="J373" s="1370"/>
      <c r="K373" s="1264"/>
      <c r="L373" s="1245"/>
      <c r="M373" s="1372"/>
      <c r="N373" s="640"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9"/>
      <c r="AW373" s="642" t="str">
        <f>IF('別紙様式2-2（４・５月分）'!O283="","",'別紙様式2-2（４・５月分）'!O283)</f>
        <v/>
      </c>
      <c r="AX373" s="1503"/>
      <c r="AY373"/>
      <c r="AZ373"/>
      <c r="BA373"/>
      <c r="BB373"/>
      <c r="BC373"/>
      <c r="BD373"/>
      <c r="BE373"/>
      <c r="BF373"/>
      <c r="BG373"/>
      <c r="BH373"/>
      <c r="BI373"/>
      <c r="BJ373"/>
      <c r="BK373"/>
      <c r="BL373" s="535"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IFERROR(IF(AND(OR(N374="",N375="",N377=""),U374=""),0,ROUNDDOWN(ROUNDDOWN(ROUND(L374*VLOOKUP(K374,【参考】数式用!$A$5:$AB$27,MATCH("新加算Ⅳ",【参考】数式用!$B$4:$AB$4,0)+1,0),0)*M374,0)*AG374*0.5,0)),"")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48" t="str">
        <f t="shared" si="335"/>
        <v/>
      </c>
      <c r="AU374" s="641"/>
      <c r="AV374" s="1489" t="str">
        <f>IF(K374&lt;&gt;"","V列に色付け","")</f>
        <v/>
      </c>
      <c r="AW374" s="642" t="str">
        <f>IF('別紙様式2-2（４・５月分）'!O284="","",'別紙様式2-2（４・５月分）'!O284)</f>
        <v/>
      </c>
      <c r="AX374" s="1503">
        <f>SUM('別紙様式2-2（４・５月分）'!P284:P286)</f>
        <v>0</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5"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1"/>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35"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IFERROR(IF(AND(OR(N374="",N375="",N377=""),U374=""),0,ROUNDDOWN(ROUNDDOWN(ROUND(L374*VLOOKUP(K374,【参考】数式用!$A$5:$AB$27,MATCH("新加算Ⅳ",【参考】数式用!$B$4:$AB$4,0)+1,0),0)*M374,0)*AG376*0.5,0)),"")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1"/>
      <c r="AV376" s="1489" t="str">
        <f>IF(K374&lt;&gt;"","V列に色付け","")</f>
        <v/>
      </c>
      <c r="AW376" s="1514"/>
      <c r="AX376" s="1503"/>
      <c r="AY376"/>
      <c r="AZ376"/>
      <c r="BA376"/>
      <c r="BB376"/>
      <c r="BC376"/>
      <c r="BD376"/>
      <c r="BE376"/>
      <c r="BF376"/>
      <c r="BG376"/>
      <c r="BH376"/>
      <c r="BI376"/>
      <c r="BJ376"/>
      <c r="BK376"/>
      <c r="BL376" s="535" t="str">
        <f>G374</f>
        <v/>
      </c>
    </row>
    <row r="377" spans="1:64" ht="30" customHeight="1" thickBot="1">
      <c r="A377" s="1224"/>
      <c r="B377" s="1373"/>
      <c r="C377" s="1374"/>
      <c r="D377" s="1374"/>
      <c r="E377" s="1374"/>
      <c r="F377" s="1375"/>
      <c r="G377" s="1264"/>
      <c r="H377" s="1264"/>
      <c r="I377" s="1264"/>
      <c r="J377" s="1370"/>
      <c r="K377" s="1264"/>
      <c r="L377" s="1245"/>
      <c r="M377" s="1372"/>
      <c r="N377" s="640"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9"/>
      <c r="AW377" s="642" t="str">
        <f>IF('別紙様式2-2（４・５月分）'!O286="","",'別紙様式2-2（４・５月分）'!O286)</f>
        <v/>
      </c>
      <c r="AX377" s="1503"/>
      <c r="AY377"/>
      <c r="AZ377"/>
      <c r="BA377"/>
      <c r="BB377"/>
      <c r="BC377"/>
      <c r="BD377"/>
      <c r="BE377"/>
      <c r="BF377"/>
      <c r="BG377"/>
      <c r="BH377"/>
      <c r="BI377"/>
      <c r="BJ377"/>
      <c r="BK377"/>
      <c r="BL377" s="535"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IFERROR(IF(AND(OR(N378="",N379="",N381=""),U378=""),0,ROUNDDOWN(ROUNDDOWN(ROUND(L378*VLOOKUP(K378,【参考】数式用!$A$5:$AB$27,MATCH("新加算Ⅳ",【参考】数式用!$B$4:$AB$4,0)+1,0),0)*M378,0)*AG378*0.5,0)),"")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48" t="str">
        <f t="shared" si="335"/>
        <v/>
      </c>
      <c r="AU378" s="641"/>
      <c r="AV378" s="1489" t="str">
        <f>IF(K378&lt;&gt;"","V列に色付け","")</f>
        <v/>
      </c>
      <c r="AW378" s="642" t="str">
        <f>IF('別紙様式2-2（４・５月分）'!O287="","",'別紙様式2-2（４・５月分）'!O287)</f>
        <v/>
      </c>
      <c r="AX378" s="1503">
        <f>SUM('別紙様式2-2（４・５月分）'!P287:P289)</f>
        <v>0</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5"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1"/>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35"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IFERROR(IF(AND(OR(N378="",N379="",N381=""),U378=""),0,ROUNDDOWN(ROUNDDOWN(ROUND(L378*VLOOKUP(K378,【参考】数式用!$A$5:$AB$27,MATCH("新加算Ⅳ",【参考】数式用!$B$4:$AB$4,0)+1,0),0)*M378,0)*AG380*0.5,0)),"")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1"/>
      <c r="AV380" s="1489" t="str">
        <f>IF(K378&lt;&gt;"","V列に色付け","")</f>
        <v/>
      </c>
      <c r="AW380" s="1514"/>
      <c r="AX380" s="1503"/>
      <c r="AY380"/>
      <c r="AZ380"/>
      <c r="BA380"/>
      <c r="BB380"/>
      <c r="BC380"/>
      <c r="BD380"/>
      <c r="BE380"/>
      <c r="BF380"/>
      <c r="BG380"/>
      <c r="BH380"/>
      <c r="BI380"/>
      <c r="BJ380"/>
      <c r="BK380"/>
      <c r="BL380" s="535" t="str">
        <f>G378</f>
        <v/>
      </c>
    </row>
    <row r="381" spans="1:64" ht="30" customHeight="1" thickBot="1">
      <c r="A381" s="1224"/>
      <c r="B381" s="1373"/>
      <c r="C381" s="1374"/>
      <c r="D381" s="1374"/>
      <c r="E381" s="1374"/>
      <c r="F381" s="1375"/>
      <c r="G381" s="1264"/>
      <c r="H381" s="1264"/>
      <c r="I381" s="1264"/>
      <c r="J381" s="1370"/>
      <c r="K381" s="1264"/>
      <c r="L381" s="1245"/>
      <c r="M381" s="1248"/>
      <c r="N381" s="640"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9"/>
      <c r="AW381" s="642" t="str">
        <f>IF('別紙様式2-2（４・５月分）'!O289="","",'別紙様式2-2（４・５月分）'!O289)</f>
        <v/>
      </c>
      <c r="AX381" s="1503"/>
      <c r="AY381"/>
      <c r="AZ381"/>
      <c r="BA381"/>
      <c r="BB381"/>
      <c r="BC381"/>
      <c r="BD381"/>
      <c r="BE381"/>
      <c r="BF381"/>
      <c r="BG381"/>
      <c r="BH381"/>
      <c r="BI381"/>
      <c r="BJ381"/>
      <c r="BK381"/>
      <c r="BL381" s="535"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IFERROR(IF(AND(OR(N382="",N383="",N385=""),U382=""),0,ROUNDDOWN(ROUNDDOWN(ROUND(L382*VLOOKUP(K382,【参考】数式用!$A$5:$AB$27,MATCH("新加算Ⅳ",【参考】数式用!$B$4:$AB$4,0)+1,0),0)*M382,0)*AG382*0.5,0)),"")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48" t="str">
        <f t="shared" si="335"/>
        <v/>
      </c>
      <c r="AU382" s="641"/>
      <c r="AV382" s="1489" t="str">
        <f>IF(K382&lt;&gt;"","V列に色付け","")</f>
        <v/>
      </c>
      <c r="AW382" s="642" t="str">
        <f>IF('別紙様式2-2（４・５月分）'!O290="","",'別紙様式2-2（４・５月分）'!O290)</f>
        <v/>
      </c>
      <c r="AX382" s="1503">
        <f>SUM('別紙様式2-2（４・５月分）'!P290:P292)</f>
        <v>0</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5"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1"/>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35"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IFERROR(IF(AND(OR(N382="",N383="",N385=""),U382=""),0,ROUNDDOWN(ROUNDDOWN(ROUND(L382*VLOOKUP(K382,【参考】数式用!$A$5:$AB$27,MATCH("新加算Ⅳ",【参考】数式用!$B$4:$AB$4,0)+1,0),0)*M382,0)*AG384*0.5,0)),"")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1"/>
      <c r="AV384" s="1489" t="str">
        <f>IF(K382&lt;&gt;"","V列に色付け","")</f>
        <v/>
      </c>
      <c r="AW384" s="1514"/>
      <c r="AX384" s="1503"/>
      <c r="AY384"/>
      <c r="AZ384"/>
      <c r="BA384"/>
      <c r="BB384"/>
      <c r="BC384"/>
      <c r="BD384"/>
      <c r="BE384"/>
      <c r="BF384"/>
      <c r="BG384"/>
      <c r="BH384"/>
      <c r="BI384"/>
      <c r="BJ384"/>
      <c r="BK384"/>
      <c r="BL384" s="535" t="str">
        <f>G382</f>
        <v/>
      </c>
    </row>
    <row r="385" spans="1:64" ht="30" customHeight="1" thickBot="1">
      <c r="A385" s="1224"/>
      <c r="B385" s="1373"/>
      <c r="C385" s="1374"/>
      <c r="D385" s="1374"/>
      <c r="E385" s="1374"/>
      <c r="F385" s="1375"/>
      <c r="G385" s="1264"/>
      <c r="H385" s="1264"/>
      <c r="I385" s="1264"/>
      <c r="J385" s="1370"/>
      <c r="K385" s="1264"/>
      <c r="L385" s="1245"/>
      <c r="M385" s="1372"/>
      <c r="N385" s="640"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9"/>
      <c r="AW385" s="642" t="str">
        <f>IF('別紙様式2-2（４・５月分）'!O292="","",'別紙様式2-2（４・５月分）'!O292)</f>
        <v/>
      </c>
      <c r="AX385" s="1503"/>
      <c r="AY385"/>
      <c r="AZ385"/>
      <c r="BA385"/>
      <c r="BB385"/>
      <c r="BC385"/>
      <c r="BD385"/>
      <c r="BE385"/>
      <c r="BF385"/>
      <c r="BG385"/>
      <c r="BH385"/>
      <c r="BI385"/>
      <c r="BJ385"/>
      <c r="BK385"/>
      <c r="BL385" s="535"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IFERROR(IF(AND(OR(N386="",N387="",N389=""),U386=""),0,ROUNDDOWN(ROUNDDOWN(ROUND(L386*VLOOKUP(K386,【参考】数式用!$A$5:$AB$27,MATCH("新加算Ⅳ",【参考】数式用!$B$4:$AB$4,0)+1,0),0)*M386,0)*AG386*0.5,0)),"")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48" t="str">
        <f t="shared" si="335"/>
        <v/>
      </c>
      <c r="AU386" s="641"/>
      <c r="AV386" s="1489" t="str">
        <f>IF(K386&lt;&gt;"","V列に色付け","")</f>
        <v/>
      </c>
      <c r="AW386" s="642" t="str">
        <f>IF('別紙様式2-2（４・５月分）'!O293="","",'別紙様式2-2（４・５月分）'!O293)</f>
        <v/>
      </c>
      <c r="AX386" s="1503">
        <f>SUM('別紙様式2-2（４・５月分）'!P293:P295)</f>
        <v>0</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5"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1"/>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35"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IFERROR(IF(AND(OR(N386="",N387="",N389=""),U386=""),0,ROUNDDOWN(ROUNDDOWN(ROUND(L386*VLOOKUP(K386,【参考】数式用!$A$5:$AB$27,MATCH("新加算Ⅳ",【参考】数式用!$B$4:$AB$4,0)+1,0),0)*M386,0)*AG388*0.5,0)),"")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1"/>
      <c r="AV388" s="1489" t="str">
        <f>IF(K386&lt;&gt;"","V列に色付け","")</f>
        <v/>
      </c>
      <c r="AW388" s="1514"/>
      <c r="AX388" s="1503"/>
      <c r="AY388"/>
      <c r="AZ388"/>
      <c r="BA388"/>
      <c r="BB388"/>
      <c r="BC388"/>
      <c r="BD388"/>
      <c r="BE388"/>
      <c r="BF388"/>
      <c r="BG388"/>
      <c r="BH388"/>
      <c r="BI388"/>
      <c r="BJ388"/>
      <c r="BK388"/>
      <c r="BL388" s="535" t="str">
        <f>G386</f>
        <v/>
      </c>
    </row>
    <row r="389" spans="1:64" ht="30" customHeight="1" thickBot="1">
      <c r="A389" s="1224"/>
      <c r="B389" s="1373"/>
      <c r="C389" s="1374"/>
      <c r="D389" s="1374"/>
      <c r="E389" s="1374"/>
      <c r="F389" s="1375"/>
      <c r="G389" s="1264"/>
      <c r="H389" s="1264"/>
      <c r="I389" s="1264"/>
      <c r="J389" s="1370"/>
      <c r="K389" s="1264"/>
      <c r="L389" s="1245"/>
      <c r="M389" s="1248"/>
      <c r="N389" s="640"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9"/>
      <c r="AW389" s="642" t="str">
        <f>IF('別紙様式2-2（４・５月分）'!O295="","",'別紙様式2-2（４・５月分）'!O295)</f>
        <v/>
      </c>
      <c r="AX389" s="1503"/>
      <c r="AY389"/>
      <c r="AZ389"/>
      <c r="BA389"/>
      <c r="BB389"/>
      <c r="BC389"/>
      <c r="BD389"/>
      <c r="BE389"/>
      <c r="BF389"/>
      <c r="BG389"/>
      <c r="BH389"/>
      <c r="BI389"/>
      <c r="BJ389"/>
      <c r="BK389"/>
      <c r="BL389" s="535"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IFERROR(IF(AND(OR(N390="",N391="",N393=""),U390=""),0,ROUNDDOWN(ROUNDDOWN(ROUND(L390*VLOOKUP(K390,【参考】数式用!$A$5:$AB$27,MATCH("新加算Ⅳ",【参考】数式用!$B$4:$AB$4,0)+1,0),0)*M390,0)*AG390*0.5,0)),"")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48" t="str">
        <f t="shared" si="335"/>
        <v/>
      </c>
      <c r="AU390" s="641"/>
      <c r="AV390" s="1489" t="str">
        <f>IF(K390&lt;&gt;"","V列に色付け","")</f>
        <v/>
      </c>
      <c r="AW390" s="642" t="str">
        <f>IF('別紙様式2-2（４・５月分）'!O296="","",'別紙様式2-2（４・５月分）'!O296)</f>
        <v/>
      </c>
      <c r="AX390" s="1503">
        <f>SUM('別紙様式2-2（４・５月分）'!P296:P298)</f>
        <v>0</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5"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1"/>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35"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IFERROR(IF(AND(OR(N390="",N391="",N393=""),U390=""),0,ROUNDDOWN(ROUNDDOWN(ROUND(L390*VLOOKUP(K390,【参考】数式用!$A$5:$AB$27,MATCH("新加算Ⅳ",【参考】数式用!$B$4:$AB$4,0)+1,0),0)*M390,0)*AG392*0.5,0)),"")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1"/>
      <c r="AV392" s="1489" t="str">
        <f>IF(K390&lt;&gt;"","V列に色付け","")</f>
        <v/>
      </c>
      <c r="AW392" s="1514"/>
      <c r="AX392" s="1503"/>
      <c r="AY392"/>
      <c r="AZ392"/>
      <c r="BA392"/>
      <c r="BB392"/>
      <c r="BC392"/>
      <c r="BD392"/>
      <c r="BE392"/>
      <c r="BF392"/>
      <c r="BG392"/>
      <c r="BH392"/>
      <c r="BI392"/>
      <c r="BJ392"/>
      <c r="BK392"/>
      <c r="BL392" s="535" t="str">
        <f>G390</f>
        <v/>
      </c>
    </row>
    <row r="393" spans="1:64" ht="30" customHeight="1" thickBot="1">
      <c r="A393" s="1224"/>
      <c r="B393" s="1373"/>
      <c r="C393" s="1374"/>
      <c r="D393" s="1374"/>
      <c r="E393" s="1374"/>
      <c r="F393" s="1375"/>
      <c r="G393" s="1264"/>
      <c r="H393" s="1264"/>
      <c r="I393" s="1264"/>
      <c r="J393" s="1370"/>
      <c r="K393" s="1264"/>
      <c r="L393" s="1245"/>
      <c r="M393" s="1372"/>
      <c r="N393" s="640"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9"/>
      <c r="AW393" s="642" t="str">
        <f>IF('別紙様式2-2（４・５月分）'!O298="","",'別紙様式2-2（４・５月分）'!O298)</f>
        <v/>
      </c>
      <c r="AX393" s="1503"/>
      <c r="AY393"/>
      <c r="AZ393"/>
      <c r="BA393"/>
      <c r="BB393"/>
      <c r="BC393"/>
      <c r="BD393"/>
      <c r="BE393"/>
      <c r="BF393"/>
      <c r="BG393"/>
      <c r="BH393"/>
      <c r="BI393"/>
      <c r="BJ393"/>
      <c r="BK393"/>
      <c r="BL393" s="535"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IFERROR(IF(AND(OR(N394="",N395="",N397=""),U394=""),0,ROUNDDOWN(ROUNDDOWN(ROUND(L394*VLOOKUP(K394,【参考】数式用!$A$5:$AB$27,MATCH("新加算Ⅳ",【参考】数式用!$B$4:$AB$4,0)+1,0),0)*M394,0)*AG394*0.5,0)),"")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48" t="str">
        <f t="shared" si="335"/>
        <v/>
      </c>
      <c r="AU394" s="641"/>
      <c r="AV394" s="1489" t="str">
        <f>IF(K394&lt;&gt;"","V列に色付け","")</f>
        <v/>
      </c>
      <c r="AW394" s="642" t="str">
        <f>IF('別紙様式2-2（４・５月分）'!O299="","",'別紙様式2-2（４・５月分）'!O299)</f>
        <v/>
      </c>
      <c r="AX394" s="1503">
        <f>SUM('別紙様式2-2（４・５月分）'!P299:P301)</f>
        <v>0</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5"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1"/>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35"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IFERROR(IF(AND(OR(N394="",N395="",N397=""),U394=""),0,ROUNDDOWN(ROUNDDOWN(ROUND(L394*VLOOKUP(K394,【参考】数式用!$A$5:$AB$27,MATCH("新加算Ⅳ",【参考】数式用!$B$4:$AB$4,0)+1,0),0)*M394,0)*AG396*0.5,0)),"")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1"/>
      <c r="AV396" s="1489" t="str">
        <f>IF(K394&lt;&gt;"","V列に色付け","")</f>
        <v/>
      </c>
      <c r="AW396" s="1514"/>
      <c r="AX396" s="1503"/>
      <c r="AY396"/>
      <c r="AZ396"/>
      <c r="BA396"/>
      <c r="BB396"/>
      <c r="BC396"/>
      <c r="BD396"/>
      <c r="BE396"/>
      <c r="BF396"/>
      <c r="BG396"/>
      <c r="BH396"/>
      <c r="BI396"/>
      <c r="BJ396"/>
      <c r="BK396"/>
      <c r="BL396" s="535" t="str">
        <f>G394</f>
        <v/>
      </c>
    </row>
    <row r="397" spans="1:64" ht="30" customHeight="1" thickBot="1">
      <c r="A397" s="1224"/>
      <c r="B397" s="1373"/>
      <c r="C397" s="1374"/>
      <c r="D397" s="1374"/>
      <c r="E397" s="1374"/>
      <c r="F397" s="1375"/>
      <c r="G397" s="1264"/>
      <c r="H397" s="1264"/>
      <c r="I397" s="1264"/>
      <c r="J397" s="1370"/>
      <c r="K397" s="1264"/>
      <c r="L397" s="1245"/>
      <c r="M397" s="1248"/>
      <c r="N397" s="640"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9"/>
      <c r="AW397" s="642" t="str">
        <f>IF('別紙様式2-2（４・５月分）'!O301="","",'別紙様式2-2（４・５月分）'!O301)</f>
        <v/>
      </c>
      <c r="AX397" s="1503"/>
      <c r="AY397"/>
      <c r="AZ397"/>
      <c r="BA397"/>
      <c r="BB397"/>
      <c r="BC397"/>
      <c r="BD397"/>
      <c r="BE397"/>
      <c r="BF397"/>
      <c r="BG397"/>
      <c r="BH397"/>
      <c r="BI397"/>
      <c r="BJ397"/>
      <c r="BK397"/>
      <c r="BL397" s="535"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IFERROR(IF(AND(OR(N398="",N399="",N401=""),U398=""),0,ROUNDDOWN(ROUNDDOWN(ROUND(L398*VLOOKUP(K398,【参考】数式用!$A$5:$AB$27,MATCH("新加算Ⅳ",【参考】数式用!$B$4:$AB$4,0)+1,0),0)*M398,0)*AG398*0.5,0)),"")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48" t="str">
        <f t="shared" si="335"/>
        <v/>
      </c>
      <c r="AU398" s="641"/>
      <c r="AV398" s="1489" t="str">
        <f>IF(K398&lt;&gt;"","V列に色付け","")</f>
        <v/>
      </c>
      <c r="AW398" s="642" t="str">
        <f>IF('別紙様式2-2（４・５月分）'!O302="","",'別紙様式2-2（４・５月分）'!O302)</f>
        <v/>
      </c>
      <c r="AX398" s="1503">
        <f>SUM('別紙様式2-2（４・５月分）'!P302:P304)</f>
        <v>0</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5"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1"/>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35"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IFERROR(IF(AND(OR(N398="",N399="",N401=""),U398=""),0,ROUNDDOWN(ROUNDDOWN(ROUND(L398*VLOOKUP(K398,【参考】数式用!$A$5:$AB$27,MATCH("新加算Ⅳ",【参考】数式用!$B$4:$AB$4,0)+1,0),0)*M398,0)*AG400*0.5,0)),"")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1"/>
      <c r="AV400" s="1489" t="str">
        <f>IF(K398&lt;&gt;"","V列に色付け","")</f>
        <v/>
      </c>
      <c r="AW400" s="1514"/>
      <c r="AX400" s="1503"/>
      <c r="AY400"/>
      <c r="AZ400"/>
      <c r="BA400"/>
      <c r="BB400"/>
      <c r="BC400"/>
      <c r="BD400"/>
      <c r="BE400"/>
      <c r="BF400"/>
      <c r="BG400"/>
      <c r="BH400"/>
      <c r="BI400"/>
      <c r="BJ400"/>
      <c r="BK400"/>
      <c r="BL400" s="535" t="str">
        <f>G398</f>
        <v/>
      </c>
    </row>
    <row r="401" spans="1:64" ht="30" customHeight="1" thickBot="1">
      <c r="A401" s="1224"/>
      <c r="B401" s="1373"/>
      <c r="C401" s="1374"/>
      <c r="D401" s="1374"/>
      <c r="E401" s="1374"/>
      <c r="F401" s="1375"/>
      <c r="G401" s="1264"/>
      <c r="H401" s="1264"/>
      <c r="I401" s="1264"/>
      <c r="J401" s="1370"/>
      <c r="K401" s="1264"/>
      <c r="L401" s="1245"/>
      <c r="M401" s="1372"/>
      <c r="N401" s="640"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9"/>
      <c r="AW401" s="642" t="str">
        <f>IF('別紙様式2-2（４・５月分）'!O304="","",'別紙様式2-2（４・５月分）'!O304)</f>
        <v/>
      </c>
      <c r="AX401" s="1503"/>
      <c r="AY401"/>
      <c r="AZ401"/>
      <c r="BA401"/>
      <c r="BB401"/>
      <c r="BC401"/>
      <c r="BD401"/>
      <c r="BE401"/>
      <c r="BF401"/>
      <c r="BG401"/>
      <c r="BH401"/>
      <c r="BI401"/>
      <c r="BJ401"/>
      <c r="BK401"/>
      <c r="BL401" s="535"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IFERROR(IF(AND(OR(N402="",N403="",N405=""),U402=""),0,ROUNDDOWN(ROUNDDOWN(ROUND(L402*VLOOKUP(K402,【参考】数式用!$A$5:$AB$27,MATCH("新加算Ⅳ",【参考】数式用!$B$4:$AB$4,0)+1,0),0)*M402,0)*AG402*0.5,0)),"")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48" t="str">
        <f t="shared" ref="AT402:AT410" si="402">IF(AV402="","",IF(V402&lt;O402,"！加算の要件上は問題ありませんが、令和６年４・５月と比較して令和６年６月に加算率が下がる計画になっています。",""))</f>
        <v/>
      </c>
      <c r="AU402" s="641"/>
      <c r="AV402" s="1489" t="str">
        <f>IF(K402&lt;&gt;"","V列に色付け","")</f>
        <v/>
      </c>
      <c r="AW402" s="642" t="str">
        <f>IF('別紙様式2-2（４・５月分）'!O305="","",'別紙様式2-2（４・５月分）'!O305)</f>
        <v/>
      </c>
      <c r="AX402" s="1503">
        <f>SUM('別紙様式2-2（４・５月分）'!P305:P307)</f>
        <v>0</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5"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35"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IFERROR(IF(AND(OR(N402="",N403="",N405=""),U402=""),0,ROUNDDOWN(ROUNDDOWN(ROUND(L402*VLOOKUP(K402,【参考】数式用!$A$5:$AB$27,MATCH("新加算Ⅳ",【参考】数式用!$B$4:$AB$4,0)+1,0),0)*M402,0)*AG404*0.5,0)),"")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1"/>
      <c r="AV404" s="1489" t="str">
        <f>IF(K402&lt;&gt;"","V列に色付け","")</f>
        <v/>
      </c>
      <c r="AW404" s="1514"/>
      <c r="AX404" s="1503"/>
      <c r="AY404"/>
      <c r="AZ404"/>
      <c r="BA404"/>
      <c r="BB404"/>
      <c r="BC404"/>
      <c r="BD404"/>
      <c r="BE404"/>
      <c r="BF404"/>
      <c r="BG404"/>
      <c r="BH404"/>
      <c r="BI404"/>
      <c r="BJ404"/>
      <c r="BK404"/>
      <c r="BL404" s="535" t="str">
        <f>G402</f>
        <v/>
      </c>
    </row>
    <row r="405" spans="1:64" ht="30" customHeight="1" thickBot="1">
      <c r="A405" s="1224"/>
      <c r="B405" s="1373"/>
      <c r="C405" s="1374"/>
      <c r="D405" s="1374"/>
      <c r="E405" s="1374"/>
      <c r="F405" s="1375"/>
      <c r="G405" s="1264"/>
      <c r="H405" s="1264"/>
      <c r="I405" s="1264"/>
      <c r="J405" s="1370"/>
      <c r="K405" s="1264"/>
      <c r="L405" s="1245"/>
      <c r="M405" s="1248"/>
      <c r="N405" s="640"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9"/>
      <c r="AW405" s="642" t="str">
        <f>IF('別紙様式2-2（４・５月分）'!O307="","",'別紙様式2-2（４・５月分）'!O307)</f>
        <v/>
      </c>
      <c r="AX405" s="1503"/>
      <c r="AY405"/>
      <c r="AZ405"/>
      <c r="BA405"/>
      <c r="BB405"/>
      <c r="BC405"/>
      <c r="BD405"/>
      <c r="BE405"/>
      <c r="BF405"/>
      <c r="BG405"/>
      <c r="BH405"/>
      <c r="BI405"/>
      <c r="BJ405"/>
      <c r="BK405"/>
      <c r="BL405" s="535"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IFERROR(IF(AND(OR(N406="",N407="",N409=""),U406=""),0,ROUNDDOWN(ROUNDDOWN(ROUND(L406*VLOOKUP(K406,【参考】数式用!$A$5:$AB$27,MATCH("新加算Ⅳ",【参考】数式用!$B$4:$AB$4,0)+1,0),0)*M406,0)*AG406*0.5,0)),"")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48" t="str">
        <f t="shared" si="402"/>
        <v/>
      </c>
      <c r="AU406" s="641"/>
      <c r="AV406" s="1489" t="str">
        <f>IF(K406&lt;&gt;"","V列に色付け","")</f>
        <v/>
      </c>
      <c r="AW406" s="642" t="str">
        <f>IF('別紙様式2-2（４・５月分）'!O308="","",'別紙様式2-2（４・５月分）'!O308)</f>
        <v/>
      </c>
      <c r="AX406" s="1503">
        <f>SUM('別紙様式2-2（４・５月分）'!P308:P310)</f>
        <v>0</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5"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1"/>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35"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IFERROR(IF(AND(OR(N406="",N407="",N409=""),U406=""),0,ROUNDDOWN(ROUNDDOWN(ROUND(L406*VLOOKUP(K406,【参考】数式用!$A$5:$AB$27,MATCH("新加算Ⅳ",【参考】数式用!$B$4:$AB$4,0)+1,0),0)*M406,0)*AG408*0.5,0)),"")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1"/>
      <c r="AV408" s="1489" t="str">
        <f>IF(K406&lt;&gt;"","V列に色付け","")</f>
        <v/>
      </c>
      <c r="AW408" s="1514"/>
      <c r="AX408" s="1503"/>
      <c r="AY408"/>
      <c r="AZ408"/>
      <c r="BA408"/>
      <c r="BB408"/>
      <c r="BC408"/>
      <c r="BD408"/>
      <c r="BE408"/>
      <c r="BF408"/>
      <c r="BG408"/>
      <c r="BH408"/>
      <c r="BI408"/>
      <c r="BJ408"/>
      <c r="BK408"/>
      <c r="BL408" s="535" t="str">
        <f>G406</f>
        <v/>
      </c>
    </row>
    <row r="409" spans="1:64" ht="30" customHeight="1" thickBot="1">
      <c r="A409" s="1224"/>
      <c r="B409" s="1373"/>
      <c r="C409" s="1374"/>
      <c r="D409" s="1374"/>
      <c r="E409" s="1374"/>
      <c r="F409" s="1375"/>
      <c r="G409" s="1264"/>
      <c r="H409" s="1264"/>
      <c r="I409" s="1264"/>
      <c r="J409" s="1370"/>
      <c r="K409" s="1264"/>
      <c r="L409" s="1245"/>
      <c r="M409" s="1372"/>
      <c r="N409" s="640"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9"/>
      <c r="AW409" s="642" t="str">
        <f>IF('別紙様式2-2（４・５月分）'!O310="","",'別紙様式2-2（４・５月分）'!O310)</f>
        <v/>
      </c>
      <c r="AX409" s="1503"/>
      <c r="AY409"/>
      <c r="AZ409"/>
      <c r="BA409"/>
      <c r="BB409"/>
      <c r="BC409"/>
      <c r="BD409"/>
      <c r="BE409"/>
      <c r="BF409"/>
      <c r="BG409"/>
      <c r="BH409"/>
      <c r="BI409"/>
      <c r="BJ409"/>
      <c r="BK409"/>
      <c r="BL409" s="535"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IFERROR(IF(AND(OR(N410="",N411="",N413=""),U410=""),0,ROUNDDOWN(ROUNDDOWN(ROUND(L410*VLOOKUP(K410,【参考】数式用!$A$5:$AB$27,MATCH("新加算Ⅳ",【参考】数式用!$B$4:$AB$4,0)+1,0),0)*M410,0)*AG410*0.5,0)),"")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48" t="str">
        <f t="shared" si="402"/>
        <v/>
      </c>
      <c r="AU410" s="641"/>
      <c r="AV410" s="1489" t="str">
        <f>IF(K410&lt;&gt;"","V列に色付け","")</f>
        <v/>
      </c>
      <c r="AW410" s="642" t="str">
        <f>IF('別紙様式2-2（４・５月分）'!O311="","",'別紙様式2-2（４・５月分）'!O311)</f>
        <v/>
      </c>
      <c r="AX410" s="1503">
        <f>SUM('別紙様式2-2（４・５月分）'!P311:P313)</f>
        <v>0</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5"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1"/>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35"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IFERROR(IF(AND(OR(N410="",N411="",N413=""),U410=""),0,ROUNDDOWN(ROUNDDOWN(ROUND(L410*VLOOKUP(K410,【参考】数式用!$A$5:$AB$27,MATCH("新加算Ⅳ",【参考】数式用!$B$4:$AB$4,0)+1,0),0)*M410,0)*AG412*0.5,0)),"")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1"/>
      <c r="AV412" s="1489" t="str">
        <f>IF(K410&lt;&gt;"","V列に色付け","")</f>
        <v/>
      </c>
      <c r="AW412" s="1514"/>
      <c r="AX412" s="1503"/>
      <c r="AY412"/>
      <c r="AZ412"/>
      <c r="BA412"/>
      <c r="BB412"/>
      <c r="BC412"/>
      <c r="BD412"/>
      <c r="BE412"/>
      <c r="BF412"/>
      <c r="BG412"/>
      <c r="BH412"/>
      <c r="BI412"/>
      <c r="BJ412"/>
      <c r="BK412"/>
      <c r="BL412" s="535" t="str">
        <f>G410</f>
        <v/>
      </c>
    </row>
    <row r="413" spans="1:64" ht="30" customHeight="1" thickBot="1">
      <c r="A413" s="1224"/>
      <c r="B413" s="1373"/>
      <c r="C413" s="1374"/>
      <c r="D413" s="1374"/>
      <c r="E413" s="1374"/>
      <c r="F413" s="1375"/>
      <c r="G413" s="1264"/>
      <c r="H413" s="1264"/>
      <c r="I413" s="1264"/>
      <c r="J413" s="1370"/>
      <c r="K413" s="1264"/>
      <c r="L413" s="1245"/>
      <c r="M413" s="1248"/>
      <c r="N413" s="640"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9"/>
      <c r="AW413" s="642" t="str">
        <f>IF('別紙様式2-2（４・５月分）'!O313="","",'別紙様式2-2（４・５月分）'!O313)</f>
        <v/>
      </c>
      <c r="AX413" s="1503"/>
      <c r="AY413"/>
      <c r="AZ413"/>
      <c r="BA413"/>
      <c r="BB413"/>
      <c r="BC413"/>
      <c r="BD413"/>
      <c r="BE413"/>
      <c r="BF413"/>
      <c r="BG413"/>
      <c r="BH413"/>
      <c r="BI413"/>
      <c r="BJ413"/>
      <c r="BK413"/>
      <c r="BL413" s="535"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53125" defaultRowHeight="16.5"/>
  <cols>
    <col min="1" max="1" width="5.6328125" customWidth="1"/>
    <col min="2" max="6" width="2.6328125" style="509" customWidth="1"/>
    <col min="7" max="7" width="13.08984375" customWidth="1"/>
    <col min="8" max="8" width="8.453125" customWidth="1"/>
    <col min="9" max="9" width="9.36328125" style="670" customWidth="1"/>
    <col min="10" max="10" width="14.453125" customWidth="1"/>
    <col min="11" max="11" width="16.6328125" style="265" customWidth="1"/>
    <col min="12" max="12" width="14.453125" style="594" customWidth="1"/>
    <col min="13" max="13" width="6.6328125" style="594" customWidth="1"/>
    <col min="14" max="14" width="15" style="594" customWidth="1"/>
    <col min="15" max="15" width="5.90625" style="594" customWidth="1"/>
    <col min="16" max="16" width="2.6328125" style="593" customWidth="1"/>
    <col min="17" max="17" width="15.08984375" style="593" customWidth="1"/>
    <col min="18" max="18" width="2.36328125" style="594" customWidth="1"/>
    <col min="19" max="19" width="7.36328125" style="594" customWidth="1"/>
    <col min="20" max="20" width="18" style="594" customWidth="1"/>
    <col min="21" max="21" width="15.08984375" style="593" customWidth="1"/>
    <col min="22" max="22" width="7" style="594" customWidth="1"/>
    <col min="23" max="23" width="4.6328125" style="265" customWidth="1"/>
    <col min="24" max="25" width="2.90625" style="265" customWidth="1"/>
    <col min="26" max="26" width="3.6328125" style="265" customWidth="1"/>
    <col min="27" max="27" width="10" style="265" customWidth="1"/>
    <col min="28" max="29" width="2.90625" style="265" customWidth="1"/>
    <col min="30" max="30" width="3.453125" style="265" customWidth="1"/>
    <col min="31" max="32" width="2.90625" style="265" customWidth="1"/>
    <col min="33" max="33" width="3.6328125" style="265" customWidth="1"/>
    <col min="34" max="34" width="6.08984375" style="265" customWidth="1"/>
    <col min="35" max="37" width="14.36328125" style="594" customWidth="1"/>
    <col min="38" max="38" width="9.08984375" style="594" customWidth="1"/>
    <col min="39" max="39" width="14.36328125" style="594" customWidth="1"/>
    <col min="40" max="40" width="8.6328125" style="594" customWidth="1"/>
    <col min="41" max="41" width="11.36328125" customWidth="1"/>
    <col min="42" max="42" width="9.90625" customWidth="1"/>
    <col min="43" max="43" width="11.08984375" style="423" customWidth="1"/>
    <col min="44" max="44" width="12" style="665" customWidth="1"/>
    <col min="45" max="45" width="21.36328125" style="423" customWidth="1"/>
    <col min="46" max="46" width="61" style="423" customWidth="1"/>
    <col min="47" max="47" width="8.36328125" style="423" hidden="1" customWidth="1"/>
    <col min="48" max="48" width="17.90625" style="420" hidden="1" customWidth="1"/>
    <col min="49" max="49" width="10.90625" style="420" hidden="1" customWidth="1"/>
    <col min="50" max="50" width="6.453125" style="420" hidden="1" customWidth="1"/>
    <col min="51" max="51" width="19.6328125" style="420" hidden="1" customWidth="1"/>
    <col min="52" max="52" width="8.08984375" style="420" hidden="1" customWidth="1"/>
    <col min="53" max="55" width="7.36328125" style="420" hidden="1" customWidth="1"/>
    <col min="56" max="56" width="8.6328125" style="420" hidden="1" customWidth="1"/>
    <col min="57" max="57" width="8.36328125" style="576" hidden="1" customWidth="1"/>
    <col min="58" max="60" width="7.36328125" style="420" hidden="1" customWidth="1"/>
    <col min="61" max="62" width="6.6328125" hidden="1" customWidth="1"/>
    <col min="63" max="63" width="6.63281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5" t="s">
        <v>54</v>
      </c>
      <c r="AR1" s="1516"/>
      <c r="AS1" s="600" t="str">
        <f>IF(基本情報入力シート!C33="","",基本情報入力シート!C33)</f>
        <v>○○市</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4" t="s">
        <v>2356</v>
      </c>
      <c r="B5" s="1526"/>
      <c r="C5" s="1526"/>
      <c r="D5" s="1526"/>
      <c r="E5" s="1526"/>
      <c r="F5" s="1526"/>
      <c r="G5" s="1526"/>
      <c r="H5" s="1526"/>
      <c r="I5" s="1526"/>
      <c r="J5" s="1526"/>
      <c r="K5" s="1527"/>
      <c r="L5" s="607">
        <f>IFERROR(SUMIF(T:T, "区分変更後の算定予定", AI:AI),"")</f>
        <v>24952894</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31" t="s">
        <v>2353</v>
      </c>
      <c r="C6" s="1225"/>
      <c r="D6" s="1225"/>
      <c r="E6" s="1225"/>
      <c r="F6" s="1225"/>
      <c r="G6" s="1225"/>
      <c r="H6" s="1225"/>
      <c r="I6" s="1225"/>
      <c r="J6" s="1225"/>
      <c r="K6" s="1226"/>
      <c r="L6" s="612">
        <f>IFERROR(SUMIF(T:T, "区分変更後の算定予定", AK:AK),"")</f>
        <v>9629375</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6" t="s">
        <v>2101</v>
      </c>
      <c r="AL6" s="1397"/>
      <c r="AM6" s="1397"/>
      <c r="AN6" s="1397"/>
      <c r="AO6" s="1397"/>
      <c r="AP6" s="1397"/>
      <c r="AQ6" s="1398"/>
      <c r="AR6" s="646">
        <f>SUMIF(T:T,"区分変更後の算定予定",AR:AR)</f>
        <v>3</v>
      </c>
      <c r="AS6" s="517"/>
      <c r="AT6" s="504"/>
      <c r="AU6" s="504"/>
      <c r="AV6" s="1593" t="s">
        <v>2255</v>
      </c>
      <c r="AW6" s="1594"/>
      <c r="AY6" s="627"/>
      <c r="AZ6" s="627"/>
      <c r="BA6" s="627"/>
      <c r="BB6" s="627"/>
      <c r="BC6" s="627"/>
      <c r="BD6" s="627"/>
      <c r="BE6" s="627"/>
      <c r="BF6" s="627"/>
      <c r="BG6" s="627"/>
      <c r="BH6" s="627"/>
    </row>
    <row r="7" spans="1:60" ht="35.25" customHeight="1" thickBot="1">
      <c r="A7" s="611"/>
      <c r="B7" s="1331" t="s">
        <v>2354</v>
      </c>
      <c r="C7" s="1225"/>
      <c r="D7" s="1225"/>
      <c r="E7" s="1225"/>
      <c r="F7" s="1225"/>
      <c r="G7" s="1225"/>
      <c r="H7" s="1225"/>
      <c r="I7" s="1225"/>
      <c r="J7" s="1225"/>
      <c r="K7" s="1226"/>
      <c r="L7" s="612">
        <f>IFERROR(SUMIF(T:T, "区分変更後の算定予定", AM:AM),"")</f>
        <v>2573726</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6" t="s">
        <v>2343</v>
      </c>
      <c r="AL7" s="1397"/>
      <c r="AM7" s="1397"/>
      <c r="AN7" s="1397"/>
      <c r="AO7" s="1397"/>
      <c r="AP7" s="1397"/>
      <c r="AQ7" s="1398"/>
      <c r="AR7" s="647">
        <f>SUM(BD:BD)</f>
        <v>3</v>
      </c>
      <c r="AS7" s="517"/>
      <c r="AT7" s="504"/>
      <c r="AU7" s="517"/>
      <c r="AV7" s="1595"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96"/>
      <c r="AX7" s="159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2"/>
      <c r="AZ7" s="1589" t="str">
        <f>IF((COUNTIFS(T:T,"区分変更後の算定予定",U:U,"新加算Ⅰ")+COUNTIFS(T:T,"区分変更後の算定予定",U:U,"新加算Ⅱ"))&gt;=1,"旧特定加算相当あり","旧特定加算相当なし")</f>
        <v>旧特定加算相当あり</v>
      </c>
      <c r="BA7" s="1589"/>
      <c r="BB7" s="1589"/>
      <c r="BC7" s="1590" t="str">
        <f>IF((COUNTIFS(T:T,"区分変更後の算定予定",U:U,"新加算Ⅰ"))&gt;=1,"旧特定加算Ⅰ相当あり","旧特定加算Ⅰ相当なし")</f>
        <v>旧特定加算Ⅰ相当あり</v>
      </c>
      <c r="BD7" s="1591"/>
      <c r="BE7" s="1592"/>
      <c r="BH7"/>
    </row>
    <row r="8" spans="1:60" ht="35.25" customHeight="1" thickBot="1">
      <c r="A8" s="619"/>
      <c r="B8" s="1331" t="s">
        <v>2355</v>
      </c>
      <c r="C8" s="1225"/>
      <c r="D8" s="1225"/>
      <c r="E8" s="1225"/>
      <c r="F8" s="1225"/>
      <c r="G8" s="1225"/>
      <c r="H8" s="1225"/>
      <c r="I8" s="1225"/>
      <c r="J8" s="1225"/>
      <c r="K8" s="1226"/>
      <c r="L8" s="648">
        <f>IFERROR(SUMIF(T:T, "区分変更後の算定予定", AJ:AJ),"")</f>
        <v>23658436</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7" t="s">
        <v>2359</v>
      </c>
      <c r="B9" s="1287"/>
      <c r="C9" s="1287"/>
      <c r="D9" s="1287"/>
      <c r="E9" s="1287"/>
      <c r="F9" s="1287"/>
      <c r="G9" s="1287"/>
      <c r="H9" s="1287"/>
      <c r="I9" s="1287"/>
      <c r="J9" s="1287"/>
      <c r="K9" s="1287"/>
      <c r="L9" s="1287"/>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7"/>
      <c r="B10" s="1287"/>
      <c r="C10" s="1287"/>
      <c r="D10" s="1287"/>
      <c r="E10" s="1287"/>
      <c r="F10" s="1287"/>
      <c r="G10" s="1287"/>
      <c r="H10" s="1287"/>
      <c r="I10" s="1287"/>
      <c r="J10" s="1287"/>
      <c r="K10" s="1287"/>
      <c r="L10" s="1287"/>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8"/>
      <c r="B11" s="1288"/>
      <c r="C11" s="1288"/>
      <c r="D11" s="1288"/>
      <c r="E11" s="1288"/>
      <c r="F11" s="1288"/>
      <c r="G11" s="1288"/>
      <c r="H11" s="1288"/>
      <c r="I11" s="1288"/>
      <c r="J11" s="1288"/>
      <c r="K11" s="1288"/>
      <c r="L11" s="1288"/>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9" t="str">
        <f>IFERROR(IF(COUNTIF(AZ:AZ,"未入力")=0,"○","未入力あり"),"")</f>
        <v>○</v>
      </c>
      <c r="AN11" s="1510"/>
      <c r="AO11" s="629" t="str">
        <f>IFERROR(IF(COUNTIF(BA:BA,"未入力")=0,"○","未入力あり"),"")</f>
        <v>○</v>
      </c>
      <c r="AP11" s="629" t="str">
        <f>IFERROR(IF(COUNTIF(BB:BB,"未入力")=0,"○","未入力あり"),"")</f>
        <v>○</v>
      </c>
      <c r="AQ11" s="629" t="str">
        <f>IFERROR(IF(COUNTIF(BC:BC,"未入力")=0,"○","未入力あり"),"")</f>
        <v>○</v>
      </c>
      <c r="AR11" s="650" t="str">
        <f>IF(AZ7="旧特定加算相当なし","",IF(AR6&gt;=AR7,"○","×"))</f>
        <v>○</v>
      </c>
      <c r="AS11" s="629" t="str">
        <f>IF(BC7="旧特定加算Ⅰ相当なし","",IF(COUNTIF(BE:BE,"未入力")=0,"○","未入力あり"))</f>
        <v>○</v>
      </c>
      <c r="AT11" s="632" t="s">
        <v>2194</v>
      </c>
      <c r="AU11" s="517"/>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3" t="s">
        <v>234</v>
      </c>
      <c r="AR12" s="523" t="s">
        <v>238</v>
      </c>
      <c r="AS12" s="524" t="s">
        <v>239</v>
      </c>
      <c r="AT12" s="1340" t="s">
        <v>2314</v>
      </c>
      <c r="AU12" s="651"/>
      <c r="AV12" s="499"/>
      <c r="BF12" s="1520" t="s">
        <v>2346</v>
      </c>
      <c r="BG12" s="1521"/>
      <c r="BH12" s="1522"/>
    </row>
    <row r="13" spans="1:60" ht="132.75" customHeight="1" thickBot="1">
      <c r="A13" s="1255"/>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2" t="s">
        <v>2342</v>
      </c>
      <c r="AL13" s="653" t="s">
        <v>2180</v>
      </c>
      <c r="AM13" s="653" t="s">
        <v>2163</v>
      </c>
      <c r="AN13" s="654" t="s">
        <v>2181</v>
      </c>
      <c r="AO13" s="654" t="s">
        <v>2319</v>
      </c>
      <c r="AP13" s="653" t="s">
        <v>2320</v>
      </c>
      <c r="AQ13" s="655" t="s">
        <v>233</v>
      </c>
      <c r="AR13" s="532" t="s">
        <v>2330</v>
      </c>
      <c r="AS13" s="656" t="s">
        <v>2324</v>
      </c>
      <c r="AT13" s="1228"/>
      <c r="AU13" s="651"/>
      <c r="AV13" s="535" t="s">
        <v>2176</v>
      </c>
      <c r="AW13" s="635" t="s">
        <v>2203</v>
      </c>
      <c r="AX13" s="635" t="s">
        <v>2204</v>
      </c>
      <c r="AY13" s="535" t="s">
        <v>2170</v>
      </c>
      <c r="AZ13" s="535" t="s">
        <v>2184</v>
      </c>
      <c r="BA13" s="535" t="s">
        <v>2171</v>
      </c>
      <c r="BB13" s="535" t="s">
        <v>2172</v>
      </c>
      <c r="BC13" s="535" t="s">
        <v>2173</v>
      </c>
      <c r="BD13" s="538" t="s">
        <v>2174</v>
      </c>
      <c r="BE13" s="538" t="s">
        <v>2175</v>
      </c>
      <c r="BF13" s="1523"/>
      <c r="BG13" s="1524"/>
      <c r="BH13" s="1525"/>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09" t="s">
        <v>2182</v>
      </c>
      <c r="U14" s="1558" t="str">
        <f>IF('別紙様式2-3（６月以降分）'!U14="","",'別紙様式2-3（６月以降分）'!U14)</f>
        <v>新加算Ⅰ</v>
      </c>
      <c r="V14" s="1453">
        <f>IFERROR(VLOOKUP(K14,【参考】数式用!$A$5:$AB$27,MATCH(U14,【参考】数式用!$B$4:$AB$4,0)+1,0),"")</f>
        <v>0.245</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5167050</v>
      </c>
      <c r="AJ14" s="1538">
        <f>'別紙様式2-3（６月以降分）'!AJ14</f>
        <v>1666110</v>
      </c>
      <c r="AK14" s="1556">
        <f>'別紙様式2-3（６月以降分）'!AK14</f>
        <v>1529025</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令和６年度中に満たす</v>
      </c>
      <c r="AP14" s="1498" t="str">
        <f>IF('別紙様式2-3（６月以降分）'!AP14="","",'別紙様式2-3（６月以降分）'!AP14)</f>
        <v/>
      </c>
      <c r="AQ14" s="1399" t="str">
        <f>IF('別紙様式2-3（６月以降分）'!AQ14="","",'別紙様式2-3（６月以降分）'!AQ14)</f>
        <v>令和６年度中に満たす</v>
      </c>
      <c r="AR14" s="1579">
        <f>IF('別紙様式2-3（６月以降分）'!AR14="","",'別紙様式2-3（６月以降分）'!AR14)</f>
        <v>1</v>
      </c>
      <c r="AS14" s="1532" t="str">
        <f>IF('別紙様式2-3（６月以降分）'!AS14="","",'別紙様式2-3（６月以降分）'!AS14)</f>
        <v>特定事業所加算Ⅰ</v>
      </c>
      <c r="AT14" s="657" t="str">
        <f>IF(AV16="","",IF(V16&lt;V14,"！加算の要件上は問題ありませんが、令和６年度当初の新加算の加算率と比較して、移行後の加算率が下がる計画になっています。",""))</f>
        <v/>
      </c>
      <c r="AU14" s="658"/>
      <c r="AV14" s="1230"/>
      <c r="AW14" s="659" t="str">
        <f>IF('別紙様式2-2（４・５月分）'!O14="","",'別紙様式2-2（４・５月分）'!O14)</f>
        <v>処遇加算Ⅱ</v>
      </c>
      <c r="AX14" s="1518">
        <f>SUM('別紙様式2-2（４・５月分）'!P14:P16)</f>
        <v>0.16600000000000001</v>
      </c>
      <c r="AY14" s="1588" t="str">
        <f>IFERROR(VLOOKUP(K14,【参考】数式用!$AJ$2:$AK$24,2,FALSE),"")</f>
        <v>訪問介護</v>
      </c>
      <c r="AZ14" s="576"/>
      <c r="BE14" s="420"/>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0"/>
      <c r="AV15" s="1489"/>
      <c r="AW15" s="1514" t="str">
        <f>IF('別紙様式2-2（４・５月分）'!O15="","",'別紙様式2-2（４・５月分）'!O15)</f>
        <v>特定加算Ⅱ</v>
      </c>
      <c r="AX15" s="1503"/>
      <c r="AY15" s="1587"/>
      <c r="AZ15" s="513"/>
      <c r="BE15" s="420"/>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IFERROR(VLOOKUP('別紙様式2-2（４・５月分）'!AR14,【参考】数式用!$AT$5:$AV$22,3,FALSE),"")</f>
        <v xml:space="preserve">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IFERROR(IF(OR(N17="ベア加算",N17=""),"", IF(OR(U16="新加算Ⅰ",U16="新加算Ⅱ",U16="新加算Ⅲ",U16="新加算Ⅳ"),ROUNDDOWN(ROUND(L14*VLOOKUP(K14,【参考】数式用!$A$5:$I$27,MATCH("ベア加算",【参考】数式用!$B$4:$I$4,0)+1,0),0)*M14,0)*AG16,"")),"")</f>
        <v/>
      </c>
      <c r="AN16" s="1544"/>
      <c r="AO16" s="1546"/>
      <c r="AP16" s="1548"/>
      <c r="AQ16" s="1550"/>
      <c r="AR16" s="1552"/>
      <c r="AS16" s="1554"/>
      <c r="AT16" s="1528"/>
      <c r="AU16" s="660"/>
      <c r="AV16" s="1489" t="str">
        <f>IF(OR(AB14&lt;&gt;7,AD14&lt;&gt;3),"V列に色付け","")</f>
        <v/>
      </c>
      <c r="AW16" s="1514"/>
      <c r="AX16" s="1503"/>
      <c r="AY16" s="661"/>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9"/>
      <c r="AW17" s="642" t="str">
        <f>IF('別紙様式2-2（４・５月分）'!O16="","",'別紙様式2-2（４・５月分）'!O16)</f>
        <v>ベア加算</v>
      </c>
      <c r="AX17" s="1503"/>
      <c r="AY17" s="663"/>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2182</v>
      </c>
      <c r="U18" s="1558" t="str">
        <f>IF('別紙様式2-3（６月以降分）'!U18="","",'別紙様式2-3（６月以降分）'!U18)</f>
        <v>新加算Ⅴ（２）</v>
      </c>
      <c r="V18" s="1453">
        <f>IFERROR(VLOOKUP(K18,【参考】数式用!$A$5:$AB$27,MATCH(U18,【参考】数式用!$B$4:$AB$4,0)+1,0),"")</f>
        <v>0.20799999999999999</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1968090</v>
      </c>
      <c r="AJ18" s="1538">
        <f>'別紙様式2-3（６月以降分）'!AJ18</f>
        <v>624490</v>
      </c>
      <c r="AK18" s="1534">
        <f>'別紙様式2-3（６月以降分）'!AK18</f>
        <v>685995</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令和６年度中に満たす</v>
      </c>
      <c r="AP18" s="1498" t="str">
        <f>IF('別紙様式2-3（６月以降分）'!AP18="","",'別紙様式2-3（６月以降分）'!AP18)</f>
        <v/>
      </c>
      <c r="AQ18" s="1399" t="str">
        <f>IF('別紙様式2-3（６月以降分）'!AQ18="","",'別紙様式2-3（６月以降分）'!AQ18)</f>
        <v/>
      </c>
      <c r="AR18" s="1579" t="str">
        <f>IF('別紙様式2-3（６月以降分）'!AR18="","",'別紙様式2-3（６月以降分）'!AR18)</f>
        <v/>
      </c>
      <c r="AS18" s="1532" t="str">
        <f>IF('別紙様式2-3（６月以降分）'!AS18="","",'別紙様式2-3（６月以降分）'!AS18)</f>
        <v>併設本体事業所において旧特定加算Ⅰ又は新加算Ⅰの届出あり</v>
      </c>
      <c r="AT18" s="657" t="str">
        <f t="shared" ref="AT18" si="0">IF(AV20="","",IF(V20&lt;V18,"！加算の要件上は問題ありませんが、令和６年度当初の新加算の加算率と比較して、移行後の加算率が下がる計画になっています。",""))</f>
        <v/>
      </c>
      <c r="AU18" s="664"/>
      <c r="AV18" s="1230"/>
      <c r="AW18" s="642" t="str">
        <f>IF('別紙様式2-2（４・５月分）'!O17="","",'別紙様式2-2（４・５月分）'!O17)</f>
        <v>処遇加算Ⅱ</v>
      </c>
      <c r="AX18" s="1503">
        <f>SUM('別紙様式2-2（４・５月分）'!P17:P19)</f>
        <v>0.14200000000000002</v>
      </c>
      <c r="AY18" s="1587" t="str">
        <f>IFERROR(VLOOKUP(K18,【参考】数式用!$AJ$2:$AK$24,2,FALSE),"")</f>
        <v>訪問型サービス_総合事業</v>
      </c>
      <c r="AZ18" s="576"/>
      <c r="BE18" s="420"/>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4"/>
      <c r="AV19" s="1489"/>
      <c r="AW19" s="1514" t="str">
        <f>IF('別紙様式2-2（４・５月分）'!O18="","",'別紙様式2-2（４・５月分）'!O18)</f>
        <v>特定加算Ⅱ</v>
      </c>
      <c r="AX19" s="1503"/>
      <c r="AY19" s="1587"/>
      <c r="AZ19" s="513"/>
      <c r="BE19" s="420"/>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IFERROR(VLOOKUP('別紙様式2-2（４・５月分）'!AR17,【参考】数式用!$AT$5:$AV$22,3,FALSE),"")</f>
        <v>新加算Ⅴ（２）</v>
      </c>
      <c r="R20" s="1419" t="s">
        <v>2179</v>
      </c>
      <c r="S20" s="1391">
        <f>IFERROR(VLOOKUP(K18,【参考】数式用!$A$5:$AB$27,MATCH(Q20,【参考】数式用!$B$4:$AB$4,0)+1,0),"")</f>
        <v>0.20799999999999999</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IFERROR(IF(OR(N21="ベア加算",N21=""),"", IF(OR(U20="新加算Ⅰ",U20="新加算Ⅱ",U20="新加算Ⅲ",U20="新加算Ⅳ"),ROUNDDOWN(ROUND(L18*VLOOKUP(K18,【参考】数式用!$A$5:$I$27,MATCH("ベア加算",【参考】数式用!$B$4:$I$4,0)+1,0),0)*M18,0)*AG20,"")),"")</f>
        <v/>
      </c>
      <c r="AN20" s="1544"/>
      <c r="AO20" s="1550"/>
      <c r="AP20" s="1548"/>
      <c r="AQ20" s="1550"/>
      <c r="AR20" s="1552"/>
      <c r="AS20" s="1554"/>
      <c r="AT20" s="1528"/>
      <c r="AU20" s="534"/>
      <c r="AV20" s="1489" t="str">
        <f t="shared" ref="AV20" si="2">IF(OR(AB18&lt;&gt;7,AD18&lt;&gt;3),"V列に色付け","")</f>
        <v/>
      </c>
      <c r="AW20" s="1514"/>
      <c r="AX20" s="1503"/>
      <c r="AY20" s="661"/>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9"/>
      <c r="AW21" s="642" t="str">
        <f>IF('別紙様式2-2（４・５月分）'!O19="","",'別紙様式2-2（４・５月分）'!O19)</f>
        <v>ベア加算なし</v>
      </c>
      <c r="AX21" s="1503"/>
      <c r="AY21" s="663"/>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2182</v>
      </c>
      <c r="U22" s="1558" t="str">
        <f>IF('別紙様式2-3（６月以降分）'!U22="","",'別紙様式2-3（６月以降分）'!U22)</f>
        <v>新加算Ⅱ</v>
      </c>
      <c r="V22" s="1453">
        <f>IFERROR(VLOOKUP(K22,【参考】数式用!$A$5:$AB$27,MATCH(U22,【参考】数式用!$B$4:$AB$4,0)+1,0),"")</f>
        <v>8.9999999999999983E-2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1</v>
      </c>
      <c r="AE22" s="1351" t="s">
        <v>2161</v>
      </c>
      <c r="AF22" s="1351" t="s">
        <v>24</v>
      </c>
      <c r="AG22" s="1351">
        <f>IF(X22&gt;=1,(AB22*12+AD22)-(X22*12+Z22)+1,"")</f>
        <v>8</v>
      </c>
      <c r="AH22" s="1357" t="s">
        <v>38</v>
      </c>
      <c r="AI22" s="1477">
        <f>'別紙様式2-3（６月以降分）'!AI22</f>
        <v>2393640</v>
      </c>
      <c r="AJ22" s="1538">
        <f>'別紙様式2-3（６月以降分）'!AJ22</f>
        <v>984048</v>
      </c>
      <c r="AK22" s="1534">
        <f>'別紙様式2-3（６月以降分）'!AK22</f>
        <v>851072</v>
      </c>
      <c r="AL22" s="1536" t="str">
        <f>IF('別紙様式2-3（６月以降分）'!AL22="","",'別紙様式2-3（６月以降分）'!AL22)</f>
        <v/>
      </c>
      <c r="AM22" s="1567">
        <f>'別紙様式2-3（６月以降分）'!AM22</f>
        <v>292552</v>
      </c>
      <c r="AN22" s="1569" t="str">
        <f>IF('別紙様式2-3（６月以降分）'!AN22="","",'別紙様式2-3（６月以降分）'!AN22)</f>
        <v>○</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v>
      </c>
      <c r="AR22" s="1579">
        <f>IF('別紙様式2-3（６月以降分）'!AR22="","",'別紙様式2-3（６月以降分）'!AR22)</f>
        <v>1</v>
      </c>
      <c r="AS22" s="1532"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30"/>
      <c r="AW22" s="642" t="str">
        <f>IF('別紙様式2-2（４・５月分）'!O20="","",'別紙様式2-2（４・５月分）'!O20)</f>
        <v>処遇加算Ⅱ</v>
      </c>
      <c r="AX22" s="1503">
        <f>SUM('別紙様式2-2（４・５月分）'!P20:P22)</f>
        <v>5.2999999999999999E-2</v>
      </c>
      <c r="AY22" s="1588" t="str">
        <f>IFERROR(VLOOKUP(K22,【参考】数式用!$AJ$2:$AK$24,2,FALSE),"")</f>
        <v>通所介護</v>
      </c>
      <c r="AZ22" s="576"/>
      <c r="BE22" s="420"/>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4"/>
      <c r="AV23" s="1489"/>
      <c r="AW23" s="1514" t="str">
        <f>IF('別紙様式2-2（４・５月分）'!O21="","",'別紙様式2-2（４・５月分）'!O21)</f>
        <v>特定加算Ⅱ</v>
      </c>
      <c r="AX23" s="1503"/>
      <c r="AY23" s="1587"/>
      <c r="AZ23" s="513"/>
      <c r="BE23" s="420"/>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IFERROR(VLOOKUP('別紙様式2-2（４・５月分）'!AR20,【参考】数式用!$AT$5:$AV$22,3,FALSE),"")</f>
        <v xml:space="preserve"> </v>
      </c>
      <c r="R24" s="1385" t="s">
        <v>2179</v>
      </c>
      <c r="S24" s="1393" t="str">
        <f>IFERROR(VLOOKUP(K22,【参考】数式用!$A$5:$AB$27,MATCH(Q24,【参考】数式用!$B$4:$AB$4,0)+1,0),"")</f>
        <v/>
      </c>
      <c r="T24" s="1455" t="s">
        <v>2256</v>
      </c>
      <c r="U24" s="1565" t="s">
        <v>2087</v>
      </c>
      <c r="V24" s="1459">
        <f>IFERROR(VLOOKUP(K22,【参考】数式用!$A$5:$AB$27,MATCH(U24,【参考】数式用!$B$4:$AB$4,0)+1,0),"")</f>
        <v>9.1999999999999985E-2</v>
      </c>
      <c r="W24" s="1461" t="s">
        <v>19</v>
      </c>
      <c r="X24" s="1560">
        <v>7</v>
      </c>
      <c r="Y24" s="1403" t="s">
        <v>10</v>
      </c>
      <c r="Z24" s="1560">
        <v>2</v>
      </c>
      <c r="AA24" s="1403" t="s">
        <v>45</v>
      </c>
      <c r="AB24" s="1560">
        <v>7</v>
      </c>
      <c r="AC24" s="1403" t="s">
        <v>10</v>
      </c>
      <c r="AD24" s="1560">
        <v>3</v>
      </c>
      <c r="AE24" s="1403" t="s">
        <v>2161</v>
      </c>
      <c r="AF24" s="1403" t="s">
        <v>24</v>
      </c>
      <c r="AG24" s="1403">
        <f>IF(X24&gt;=1,(AB24*12+AD24)-(X24*12+Z24)+1,"")</f>
        <v>2</v>
      </c>
      <c r="AH24" s="1405" t="s">
        <v>38</v>
      </c>
      <c r="AI24" s="1407">
        <f>IFERROR(ROUNDDOWN(ROUND(L22*V24,0)*M22,0)*AG24,"")</f>
        <v>611708</v>
      </c>
      <c r="AJ24" s="1573">
        <f>IFERROR(ROUNDDOWN(ROUND((L22*(V24-AX22)),0)*M22,0)*AG24,"")</f>
        <v>259310</v>
      </c>
      <c r="AK24" s="1490">
        <f>IFERROR(ROUNDDOWN(ROUNDDOWN(ROUND(L22*VLOOKUP(K22,【参考】数式用!$A$5:$AB$27,MATCH("新加算Ⅳ",【参考】数式用!$B$4:$AB$4,0)+1,0),0)*M22,0)*AG24*0.5,0),"")</f>
        <v>212768</v>
      </c>
      <c r="AL24" s="1575"/>
      <c r="AM24" s="1577">
        <f>IFERROR(IF(OR(N25="ベア加算",N25=""),"", IF(OR(U24="新加算Ⅰ",U24="新加算Ⅱ",U24="新加算Ⅲ",U24="新加算Ⅳ"),ROUNDDOWN(ROUND(L22*VLOOKUP(K22,【参考】数式用!$A$5:$I$27,MATCH("ベア加算",【参考】数式用!$B$4:$I$4,0)+1,0),0)*M22,0)*AG24,"")),"")</f>
        <v>73138</v>
      </c>
      <c r="AN24" s="1544" t="s">
        <v>2419</v>
      </c>
      <c r="AO24" s="1550" t="s">
        <v>2419</v>
      </c>
      <c r="AP24" s="1548"/>
      <c r="AQ24" s="1550" t="s">
        <v>2419</v>
      </c>
      <c r="AR24" s="1552">
        <v>1</v>
      </c>
      <c r="AS24" s="1554" t="s">
        <v>2271</v>
      </c>
      <c r="AT24" s="1528"/>
      <c r="AU24" s="534"/>
      <c r="AV24" s="1489" t="str">
        <f t="shared" ref="AV24" si="6">IF(OR(AB22&lt;&gt;7,AD22&lt;&gt;3),"V列に色付け","")</f>
        <v>V列に色付け</v>
      </c>
      <c r="AW24" s="1514"/>
      <c r="AX24" s="1503"/>
      <c r="AY24" s="661"/>
      <c r="AZ24" s="1318" t="str">
        <f>IF(AM24&lt;&gt;"",IF(AN24="○","入力済","未入力"),"")</f>
        <v>入力済</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入力済</v>
      </c>
      <c r="BD24" s="1586">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489" t="str">
        <f>IF(OR(U24="新加算Ⅰ",U24="新加算Ⅴ（１）",U24="新加算Ⅴ（２）",U24="新加算Ⅴ（５）",U24="新加算Ⅴ（７）",U24="新加算Ⅴ（10）"),IF(AS24="","未入力","入力済"),"")</f>
        <v>入力済</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9"/>
      <c r="AW25" s="642" t="str">
        <f>IF('別紙様式2-2（４・５月分）'!O22="","",'別紙様式2-2（４・５月分）'!O22)</f>
        <v>ベア加算なし</v>
      </c>
      <c r="AX25" s="1503"/>
      <c r="AY25" s="663"/>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2182</v>
      </c>
      <c r="U26" s="1558" t="str">
        <f>IF('別紙様式2-3（６月以降分）'!U26="","",'別紙様式2-3（６月以降分）'!U26)</f>
        <v>新加算Ⅴ（６）</v>
      </c>
      <c r="V26" s="1453">
        <f>IFERROR(VLOOKUP(K26,【参考】数式用!$A$5:$AB$27,MATCH(U26,【参考】数式用!$B$4:$AB$4,0)+1,0),"")</f>
        <v>0.10099999999999999</v>
      </c>
      <c r="W26" s="1347" t="s">
        <v>19</v>
      </c>
      <c r="X26" s="1530">
        <f>'別紙様式2-3（６月以降分）'!X26</f>
        <v>6</v>
      </c>
      <c r="Y26" s="1351" t="s">
        <v>10</v>
      </c>
      <c r="Z26" s="1530">
        <f>'別紙様式2-3（６月以降分）'!Z26</f>
        <v>6</v>
      </c>
      <c r="AA26" s="1351" t="s">
        <v>45</v>
      </c>
      <c r="AB26" s="1530">
        <f>'別紙様式2-3（６月以降分）'!AB26</f>
        <v>6</v>
      </c>
      <c r="AC26" s="1351" t="s">
        <v>10</v>
      </c>
      <c r="AD26" s="1530">
        <f>'別紙様式2-3（６月以降分）'!AD26</f>
        <v>9</v>
      </c>
      <c r="AE26" s="1351" t="s">
        <v>2161</v>
      </c>
      <c r="AF26" s="1351" t="s">
        <v>24</v>
      </c>
      <c r="AG26" s="1351">
        <f>IF(X26&gt;=1,(AB26*12+AD26)-(X26*12+Z26)+1,"")</f>
        <v>4</v>
      </c>
      <c r="AH26" s="1357" t="s">
        <v>38</v>
      </c>
      <c r="AI26" s="1477">
        <f>'別紙様式2-3（６月以降分）'!AI26</f>
        <v>1547116</v>
      </c>
      <c r="AJ26" s="1538">
        <f>'別紙様式2-3（６月以降分）'!AJ26</f>
        <v>919080</v>
      </c>
      <c r="AK26" s="1534">
        <f>'別紙様式2-3（６月以降分）'!AK26</f>
        <v>811854</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v>
      </c>
      <c r="AP26" s="1498" t="str">
        <f>IF('別紙様式2-3（６月以降分）'!AP26="","",'別紙様式2-3（６月以降分）'!AP26)</f>
        <v/>
      </c>
      <c r="AQ26" s="1399" t="str">
        <f>IF('別紙様式2-3（６月以降分）'!AQ26="","",'別紙様式2-3（６月以降分）'!AQ26)</f>
        <v/>
      </c>
      <c r="AR26" s="1579">
        <f>IF('別紙様式2-3（６月以降分）'!AR26="","",'別紙様式2-3（６月以降分）'!AR26)</f>
        <v>1</v>
      </c>
      <c r="AS26" s="1532"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30"/>
      <c r="AW26" s="642" t="str">
        <f>IF('別紙様式2-2（４・５月分）'!O23="","",'別紙様式2-2（４・５月分）'!O23)</f>
        <v>処遇加算Ⅲ</v>
      </c>
      <c r="AX26" s="1503">
        <f>SUM('別紙様式2-2（４・５月分）'!P23:P25)</f>
        <v>4.1000000000000002E-2</v>
      </c>
      <c r="AY26" s="1587" t="str">
        <f>IFERROR(VLOOKUP(K26,【参考】数式用!$AJ$2:$AK$24,2,FALSE),"")</f>
        <v>介護予防_小規模多機能型居宅介護</v>
      </c>
      <c r="AZ26" s="576"/>
      <c r="BE26" s="420"/>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4"/>
      <c r="AV27" s="1489"/>
      <c r="AW27" s="1514" t="str">
        <f>IF('別紙様式2-2（４・５月分）'!O24="","",'別紙様式2-2（４・５月分）'!O24)</f>
        <v>特定加算なし</v>
      </c>
      <c r="AX27" s="1503"/>
      <c r="AY27" s="1587"/>
      <c r="AZ27" s="513"/>
      <c r="BE27" s="420"/>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2256</v>
      </c>
      <c r="U28" s="1565" t="s">
        <v>2088</v>
      </c>
      <c r="V28" s="1459">
        <f>IFERROR(VLOOKUP(K26,【参考】数式用!$A$5:$AB$27,MATCH(U28,【参考】数式用!$B$4:$AB$4,0)+1,0),"")</f>
        <v>0.14600000000000002</v>
      </c>
      <c r="W28" s="1461" t="s">
        <v>19</v>
      </c>
      <c r="X28" s="1560">
        <v>6</v>
      </c>
      <c r="Y28" s="1403" t="s">
        <v>10</v>
      </c>
      <c r="Z28" s="1560">
        <v>10</v>
      </c>
      <c r="AA28" s="1403" t="s">
        <v>45</v>
      </c>
      <c r="AB28" s="1560">
        <v>7</v>
      </c>
      <c r="AC28" s="1403" t="s">
        <v>10</v>
      </c>
      <c r="AD28" s="1560">
        <v>3</v>
      </c>
      <c r="AE28" s="1403" t="s">
        <v>2161</v>
      </c>
      <c r="AF28" s="1403" t="s">
        <v>24</v>
      </c>
      <c r="AG28" s="1403">
        <f>IF(X28&gt;=1,(AB28*12+AD28)-(X28*12+Z28)+1,"")</f>
        <v>6</v>
      </c>
      <c r="AH28" s="1405" t="s">
        <v>38</v>
      </c>
      <c r="AI28" s="1407">
        <f>IFERROR(ROUNDDOWN(ROUND(L26*V28,0)*M26,0)*AG28,"")</f>
        <v>3354642</v>
      </c>
      <c r="AJ28" s="1573">
        <f>IFERROR(ROUNDDOWN(ROUND((L26*(V28-AX26)),0)*M26,0)*AG28,"")</f>
        <v>2412582</v>
      </c>
      <c r="AK28" s="1490">
        <f>IFERROR(ROUNDDOWN(ROUNDDOWN(ROUND(L26*VLOOKUP(K26,【参考】数式用!$A$5:$AB$27,MATCH("新加算Ⅳ",【参考】数式用!$B$4:$AB$4,0)+1,0),0)*M26,0)*AG28*0.5,0),"")</f>
        <v>1217781</v>
      </c>
      <c r="AL28" s="1575"/>
      <c r="AM28" s="1577">
        <f>IFERROR(IF(OR(N29="ベア加算",N29=""),"", IF(OR(U28="新加算Ⅰ",U28="新加算Ⅱ",U28="新加算Ⅲ",U28="新加算Ⅳ"),ROUNDDOWN(ROUND(L26*VLOOKUP(K26,【参考】数式用!$A$5:$I$27,MATCH("ベア加算",【参考】数式用!$B$4:$I$4,0)+1,0),0)*M26,0)*AG28,"")),"")</f>
        <v>390606</v>
      </c>
      <c r="AN28" s="1544" t="s">
        <v>2419</v>
      </c>
      <c r="AO28" s="1550" t="s">
        <v>2169</v>
      </c>
      <c r="AP28" s="1548"/>
      <c r="AQ28" s="1550" t="s">
        <v>2419</v>
      </c>
      <c r="AR28" s="1552">
        <v>1</v>
      </c>
      <c r="AS28" s="1554"/>
      <c r="AT28" s="1528"/>
      <c r="AU28" s="534"/>
      <c r="AV28" s="1489" t="str">
        <f t="shared" ref="AV28" si="10">IF(OR(AB26&lt;&gt;7,AD26&lt;&gt;3),"V列に色付け","")</f>
        <v>V列に色付け</v>
      </c>
      <c r="AW28" s="1514"/>
      <c r="AX28" s="1503"/>
      <c r="AY28" s="661"/>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入力済</v>
      </c>
      <c r="BD28" s="1586">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9"/>
      <c r="AW29" s="642" t="str">
        <f>IF('別紙様式2-2（４・５月分）'!O25="","",'別紙様式2-2（４・５月分）'!O25)</f>
        <v>ベア加算なし</v>
      </c>
      <c r="AX29" s="1503"/>
      <c r="AY29" s="663"/>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2182</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2161</v>
      </c>
      <c r="AF30" s="1351" t="s">
        <v>24</v>
      </c>
      <c r="AG30" s="1351">
        <f>IF(X30&gt;=1,(AB30*12+AD30)-(X30*12+Z30)+1,"")</f>
        <v>10</v>
      </c>
      <c r="AH30" s="1357" t="s">
        <v>38</v>
      </c>
      <c r="AI30" s="1477" t="str">
        <f>'別紙様式2-3（６月以降分）'!AI30</f>
        <v/>
      </c>
      <c r="AJ30" s="1538" t="str">
        <f>'別紙様式2-3（６月以降分）'!AJ30</f>
        <v/>
      </c>
      <c r="AK30" s="1534">
        <f>'別紙様式2-3（６月以降分）'!AK30</f>
        <v>9299610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30"/>
      <c r="AW30" s="642" t="str">
        <f>IF('別紙様式2-2（４・５月分）'!O26="","",'別紙様式2-2（４・５月分）'!O26)</f>
        <v>処遇加算Ⅱ</v>
      </c>
      <c r="AX30" s="1503">
        <f>SUM('別紙様式2-2（４・５月分）'!P26:P28)</f>
        <v>0.06</v>
      </c>
      <c r="AY30" s="1588" t="str">
        <f>IFERROR(VLOOKUP(K30,【参考】数式用!$AJ$2:$AK$24,2,FALSE),"")</f>
        <v>介護老人福祉施設</v>
      </c>
      <c r="AZ30" s="576"/>
      <c r="BE30" s="420"/>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4"/>
      <c r="AV31" s="1489"/>
      <c r="AW31" s="1514" t="str">
        <f>IF('別紙様式2-2（４・５月分）'!O27="","",'別紙様式2-2（４・５月分）'!O27)</f>
        <v>特定加算なし</v>
      </c>
      <c r="AX31" s="1503"/>
      <c r="AY31" s="1587"/>
      <c r="AZ31" s="513"/>
      <c r="BE31" s="420"/>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IFERROR(VLOOKUP('別紙様式2-2（４・５月分）'!AR26,【参考】数式用!$AT$5:$AV$22,3,FALSE),"")</f>
        <v xml:space="preserve">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77" t="str">
        <f>IFERROR(IF(OR(N33="ベア加算",N33=""),"", IF(OR(U32="新加算Ⅰ",U32="新加算Ⅱ",U32="新加算Ⅲ",U32="新加算Ⅳ"),ROUNDDOWN(ROUND(L30*VLOOKUP(K30,【参考】数式用!$A$5:$I$27,MATCH("ベア加算",【参考】数式用!$B$4:$I$4,0)+1,0),0)*M30,0)*AG32,"")),"")</f>
        <v/>
      </c>
      <c r="AN32" s="1544"/>
      <c r="AO32" s="1550"/>
      <c r="AP32" s="1548"/>
      <c r="AQ32" s="1550"/>
      <c r="AR32" s="1552"/>
      <c r="AS32" s="1554"/>
      <c r="AT32" s="1528"/>
      <c r="AU32" s="534"/>
      <c r="AV32" s="1489" t="str">
        <f t="shared" ref="AV32" si="15">IF(OR(AB30&lt;&gt;7,AD30&lt;&gt;3),"V列に色付け","")</f>
        <v/>
      </c>
      <c r="AW32" s="1514"/>
      <c r="AX32" s="1503"/>
      <c r="AY32" s="661"/>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78"/>
      <c r="AN33" s="1545"/>
      <c r="AO33" s="1551"/>
      <c r="AP33" s="1549"/>
      <c r="AQ33" s="1551"/>
      <c r="AR33" s="1553"/>
      <c r="AS33" s="1555"/>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9"/>
      <c r="AW33" s="642" t="str">
        <f>IF('別紙様式2-2（４・５月分）'!O28="","",'別紙様式2-2（４・５月分）'!O28)</f>
        <v>ベア加算なし</v>
      </c>
      <c r="AX33" s="1503"/>
      <c r="AY33" s="663"/>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447">
        <f>IF(基本情報入力シート!AB59="","",基本情報入力シート!AB59)</f>
        <v>1935000</v>
      </c>
      <c r="M34" s="1449">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2182</v>
      </c>
      <c r="U34" s="1558" t="str">
        <f>IF('別紙様式2-3（６月以降分）'!U34="","",'別紙様式2-3（６月以降分）'!U34)</f>
        <v>新加算Ⅱ</v>
      </c>
      <c r="V34" s="1453">
        <f>IFERROR(VLOOKUP(K34,【参考】数式用!$A$5:$AB$27,MATCH(U34,【参考】数式用!$B$4:$AB$4,0)+1,0),"")</f>
        <v>0.13600000000000001</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2161</v>
      </c>
      <c r="AF34" s="1351" t="s">
        <v>24</v>
      </c>
      <c r="AG34" s="1351">
        <f>IF(X34&gt;=1,(AB34*12+AD34)-(X34*12+Z34)+1,"")</f>
        <v>10</v>
      </c>
      <c r="AH34" s="1357" t="s">
        <v>38</v>
      </c>
      <c r="AI34" s="1477">
        <f>'別紙様式2-3（６月以降分）'!AI34</f>
        <v>28105480</v>
      </c>
      <c r="AJ34" s="1538">
        <f>'別紙様式2-3（６月以降分）'!AJ34</f>
        <v>15706000</v>
      </c>
      <c r="AK34" s="1534">
        <f>'別紙様式2-3（６月以降分）'!AK34</f>
        <v>9299610</v>
      </c>
      <c r="AL34" s="1536" t="str">
        <f>IF('別紙様式2-3（６月以降分）'!AL34="","",'別紙様式2-3（６月以降分）'!AL34)</f>
        <v/>
      </c>
      <c r="AM34" s="1567">
        <f>'別紙様式2-3（６月以降分）'!AM34</f>
        <v>3306520</v>
      </c>
      <c r="AN34" s="1569" t="str">
        <f>IF('別紙様式2-3（６月以降分）'!AN34="","",'別紙様式2-3（６月以降分）'!AN34)</f>
        <v>○</v>
      </c>
      <c r="AO34" s="1399" t="str">
        <f>IF('別紙様式2-3（６月以降分）'!AO34="","",'別紙様式2-3（６月以降分）'!AO34)</f>
        <v>○</v>
      </c>
      <c r="AP34" s="1498" t="str">
        <f>IF('別紙様式2-3（６月以降分）'!AP34="","",'別紙様式2-3（６月以降分）'!AP34)</f>
        <v/>
      </c>
      <c r="AQ34" s="1399" t="str">
        <f>IF('別紙様式2-3（６月以降分）'!AQ34="","",'別紙様式2-3（６月以降分）'!AQ34)</f>
        <v>令和６年度中に満たす</v>
      </c>
      <c r="AR34" s="1579">
        <f>IF('別紙様式2-3（６月以降分）'!AR34="","",'別紙様式2-3（６月以降分）'!AR34)</f>
        <v>1</v>
      </c>
      <c r="AS34" s="1532"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30"/>
      <c r="AW34" s="642" t="str">
        <f>IF('別紙様式2-2（４・５月分）'!O29="","",'別紙様式2-2（４・５月分）'!O29)</f>
        <v>処遇加算Ⅱ</v>
      </c>
      <c r="AX34" s="1503">
        <f>SUM('別紙様式2-2（４・５月分）'!P29:P31)</f>
        <v>0.06</v>
      </c>
      <c r="AY34" s="1587" t="str">
        <f>IFERROR(VLOOKUP(K34,【参考】数式用!$AJ$2:$AK$24,2,FALSE),"")</f>
        <v>介護老人福祉施設</v>
      </c>
      <c r="AZ34" s="576"/>
      <c r="BE34" s="420"/>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4"/>
      <c r="AV35" s="1489"/>
      <c r="AW35" s="1514" t="str">
        <f>IF('別紙様式2-2（４・５月分）'!O30="","",'別紙様式2-2（４・５月分）'!O30)</f>
        <v>特定加算なし</v>
      </c>
      <c r="AX35" s="1503"/>
      <c r="AY35" s="1587"/>
      <c r="AZ35" s="513"/>
      <c r="BE35" s="420"/>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IFERROR(VLOOKUP('別紙様式2-2（４・５月分）'!AR29,【参考】数式用!$AT$5:$AV$22,3,FALSE),"")</f>
        <v xml:space="preserve">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77" t="str">
        <f>IFERROR(IF(OR(N37="ベア加算",N37=""),"", IF(OR(U36="新加算Ⅰ",U36="新加算Ⅱ",U36="新加算Ⅲ",U36="新加算Ⅳ"),ROUNDDOWN(ROUND(L34*VLOOKUP(K34,【参考】数式用!$A$5:$I$27,MATCH("ベア加算",【参考】数式用!$B$4:$I$4,0)+1,0),0)*M34,0)*AG36,"")),"")</f>
        <v/>
      </c>
      <c r="AN36" s="1544"/>
      <c r="AO36" s="1550"/>
      <c r="AP36" s="1548"/>
      <c r="AQ36" s="1550"/>
      <c r="AR36" s="1552"/>
      <c r="AS36" s="1554"/>
      <c r="AT36" s="1528"/>
      <c r="AU36" s="534"/>
      <c r="AV36" s="1489" t="str">
        <f t="shared" ref="AV36" si="20">IF(OR(AB34&lt;&gt;7,AD34&lt;&gt;3),"V列に色付け","")</f>
        <v/>
      </c>
      <c r="AW36" s="1514"/>
      <c r="AX36" s="1503"/>
      <c r="AY36" s="661"/>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40" t="str">
        <f>IF('別紙様式2-2（４・５月分）'!Q31="","",'別紙様式2-2（４・５月分）'!Q31)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78"/>
      <c r="AN37" s="1545"/>
      <c r="AO37" s="1551"/>
      <c r="AP37" s="1549"/>
      <c r="AQ37" s="1551"/>
      <c r="AR37" s="1553"/>
      <c r="AS37" s="1555"/>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9"/>
      <c r="AW37" s="642" t="str">
        <f>IF('別紙様式2-2（４・５月分）'!O31="","",'別紙様式2-2（４・５月分）'!O31)</f>
        <v>ベア加算なし</v>
      </c>
      <c r="AX37" s="1503"/>
      <c r="AY37" s="663"/>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446">
        <f>IF(基本情報入力シート!AB60="","",基本情報入力シート!AB60)</f>
        <v>237000</v>
      </c>
      <c r="M38" s="1443">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2182</v>
      </c>
      <c r="U38" s="1558" t="str">
        <f>IF('別紙様式2-3（６月以降分）'!U38="","",'別紙様式2-3（６月以降分）'!U38)</f>
        <v>新加算Ⅱ</v>
      </c>
      <c r="V38" s="1453">
        <f>IFERROR(VLOOKUP(K38,【参考】数式用!$A$5:$AB$27,MATCH(U38,【参考】数式用!$B$4:$AB$4,0)+1,0),"")</f>
        <v>0.13600000000000001</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2161</v>
      </c>
      <c r="AF38" s="1351" t="s">
        <v>24</v>
      </c>
      <c r="AG38" s="1351">
        <f>IF(X38&gt;=1,(AB38*12+AD38)-(X38*12+Z38)+1,"")</f>
        <v>10</v>
      </c>
      <c r="AH38" s="1357" t="s">
        <v>38</v>
      </c>
      <c r="AI38" s="1477">
        <f>'別紙様式2-3（６月以降分）'!AI38</f>
        <v>3490720</v>
      </c>
      <c r="AJ38" s="1538">
        <f>'別紙様式2-3（６月以降分）'!AJ38</f>
        <v>2053360</v>
      </c>
      <c r="AK38" s="1534">
        <f>'別紙様式2-3（６月以降分）'!AK38</f>
        <v>1155015</v>
      </c>
      <c r="AL38" s="1536" t="str">
        <f>IF('別紙様式2-3（６月以降分）'!AL38="","",'別紙様式2-3（６月以降分）'!AL38)</f>
        <v/>
      </c>
      <c r="AM38" s="1567">
        <f>'別紙様式2-3（６月以降分）'!AM38</f>
        <v>410670</v>
      </c>
      <c r="AN38" s="1569" t="str">
        <f>IF('別紙様式2-3（６月以降分）'!AN38="","",'別紙様式2-3（６月以降分）'!AN38)</f>
        <v>○</v>
      </c>
      <c r="AO38" s="1399" t="str">
        <f>IF('別紙様式2-3（６月以降分）'!AO38="","",'別紙様式2-3（６月以降分）'!AO38)</f>
        <v>令和６年度中に満たす</v>
      </c>
      <c r="AP38" s="1498" t="str">
        <f>IF('別紙様式2-3（６月以降分）'!AP38="","",'別紙様式2-3（６月以降分）'!AP38)</f>
        <v/>
      </c>
      <c r="AQ38" s="1399" t="str">
        <f>IF('別紙様式2-3（６月以降分）'!AQ38="","",'別紙様式2-3（６月以降分）'!AQ38)</f>
        <v>令和６年度中に満たす</v>
      </c>
      <c r="AR38" s="1579" t="str">
        <f>IF('別紙様式2-3（６月以降分）'!AR38="","",'別紙様式2-3（６月以降分）'!AR38)</f>
        <v/>
      </c>
      <c r="AS38" s="1532"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30"/>
      <c r="AW38" s="642" t="str">
        <f>IF('別紙様式2-2（４・５月分）'!O32="","",'別紙様式2-2（４・５月分）'!O32)</f>
        <v>処遇加算Ⅲ</v>
      </c>
      <c r="AX38" s="1503">
        <f>SUM('別紙様式2-2（４・５月分）'!P32:P34)</f>
        <v>5.6000000000000001E-2</v>
      </c>
      <c r="AY38" s="1588" t="str">
        <f>IFERROR(VLOOKUP(K38,【参考】数式用!$AJ$2:$AK$24,2,FALSE),"")</f>
        <v>介護予防_短期入所生活介護</v>
      </c>
      <c r="AZ38" s="576"/>
      <c r="BE38" s="420"/>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4"/>
      <c r="AV39" s="1489"/>
      <c r="AW39" s="1514" t="str">
        <f>IF('別紙様式2-2（４・５月分）'!O33="","",'別紙様式2-2（４・５月分）'!O33)</f>
        <v>特定加算Ⅱ</v>
      </c>
      <c r="AX39" s="1503"/>
      <c r="AY39" s="1587"/>
      <c r="AZ39" s="513"/>
      <c r="BE39" s="420"/>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IFERROR(VLOOKUP('別紙様式2-2（４・５月分）'!AR32,【参考】数式用!$AT$5:$AV$22,3,FALSE),"")</f>
        <v xml:space="preserve">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77" t="str">
        <f>IFERROR(IF(OR(N41="ベア加算",N41=""),"", IF(OR(U40="新加算Ⅰ",U40="新加算Ⅱ",U40="新加算Ⅲ",U40="新加算Ⅳ"),ROUNDDOWN(ROUND(L38*VLOOKUP(K38,【参考】数式用!$A$5:$I$27,MATCH("ベア加算",【参考】数式用!$B$4:$I$4,0)+1,0),0)*M38,0)*AG40,"")),"")</f>
        <v/>
      </c>
      <c r="AN40" s="1544"/>
      <c r="AO40" s="1550"/>
      <c r="AP40" s="1548"/>
      <c r="AQ40" s="1550"/>
      <c r="AR40" s="1552"/>
      <c r="AS40" s="1554"/>
      <c r="AT40" s="1528"/>
      <c r="AU40" s="534"/>
      <c r="AV40" s="1489" t="str">
        <f t="shared" ref="AV40" si="25">IF(OR(AB38&lt;&gt;7,AD38&lt;&gt;3),"V列に色付け","")</f>
        <v/>
      </c>
      <c r="AW40" s="1514"/>
      <c r="AX40" s="1503"/>
      <c r="AY40" s="661"/>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40" t="str">
        <f>IF('別紙様式2-2（４・５月分）'!Q34="","",'別紙様式2-2（４・５月分）'!Q34)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78"/>
      <c r="AN41" s="1545"/>
      <c r="AO41" s="1551"/>
      <c r="AP41" s="1549"/>
      <c r="AQ41" s="1551"/>
      <c r="AR41" s="1553"/>
      <c r="AS41" s="1555"/>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9"/>
      <c r="AW41" s="642" t="str">
        <f>IF('別紙様式2-2（４・５月分）'!O34="","",'別紙様式2-2（４・５月分）'!O34)</f>
        <v>ベア加算なし</v>
      </c>
      <c r="AX41" s="1503"/>
      <c r="AY41" s="663"/>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447">
        <f>IF(基本情報入力シート!AB61="","",基本情報入力シート!AB61)</f>
        <v>1800000</v>
      </c>
      <c r="M42" s="1449">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2247</v>
      </c>
      <c r="U42" s="1558" t="str">
        <f>IF('別紙様式2-3（６月以降分）'!U42="","",'別紙様式2-3（６月以降分）'!U42)</f>
        <v>新加算Ⅴ（13）</v>
      </c>
      <c r="V42" s="1453">
        <f>IFERROR(VLOOKUP(K42,【参考】数式用!$A$5:$AB$27,MATCH(U42,【参考】数式用!$B$4:$AB$4,0)+1,0),"")</f>
        <v>6.3E-2</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1</v>
      </c>
      <c r="AE42" s="1351" t="s">
        <v>2161</v>
      </c>
      <c r="AF42" s="1351" t="s">
        <v>24</v>
      </c>
      <c r="AG42" s="1351">
        <f>IF(X42&gt;=1,(AB42*12+AD42)-(X42*12+Z42)+1,"")</f>
        <v>8</v>
      </c>
      <c r="AH42" s="1357" t="s">
        <v>38</v>
      </c>
      <c r="AI42" s="1477">
        <f>'別紙様式2-3（６月以降分）'!AI42</f>
        <v>9888480</v>
      </c>
      <c r="AJ42" s="1538">
        <f>'別紙様式2-3（６月以降分）'!AJ42</f>
        <v>9888480</v>
      </c>
      <c r="AK42" s="1534">
        <f>'別紙様式2-3（６月以降分）'!AK42</f>
        <v>7063200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30"/>
      <c r="AW42" s="642" t="str">
        <f>IF('別紙様式2-2（４・５月分）'!O35="","",'別紙様式2-2（４・５月分）'!O35)</f>
        <v>処遇加算なし</v>
      </c>
      <c r="AX42" s="1503">
        <f>SUM('別紙様式2-2（４・５月分）'!P35:P37)</f>
        <v>0</v>
      </c>
      <c r="AY42" s="1587" t="str">
        <f>IFERROR(VLOOKUP(K42,【参考】数式用!$AJ$2:$AK$24,2,FALSE),"")</f>
        <v>介護老人福祉施設</v>
      </c>
      <c r="AZ42" s="576"/>
      <c r="BE42" s="420"/>
      <c r="BF42" s="1489" t="str">
        <f>G42</f>
        <v>東京都</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特定加算なし</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4"/>
      <c r="AV43" s="1489"/>
      <c r="AW43" s="1514" t="str">
        <f>IF('別紙様式2-2（４・５月分）'!O36="","",'別紙様式2-2（４・５月分）'!O36)</f>
        <v>特定加算なし</v>
      </c>
      <c r="AX43" s="1503"/>
      <c r="AY43" s="1587"/>
      <c r="AZ43" s="513"/>
      <c r="BE43" s="420"/>
      <c r="BF43" s="1489" t="str">
        <f>G42</f>
        <v>東京都</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IFERROR(VLOOKUP('別紙様式2-2（４・５月分）'!AR35,【参考】数式用!$AT$5:$AV$22,3,FALSE),"")</f>
        <v>新加算Ⅴ（13）</v>
      </c>
      <c r="R44" s="1385" t="s">
        <v>2179</v>
      </c>
      <c r="S44" s="1391">
        <f>IFERROR(VLOOKUP(K42,【参考】数式用!$A$5:$AB$27,MATCH(Q44,【参考】数式用!$B$4:$AB$4,0)+1,0),"")</f>
        <v>6.3E-2</v>
      </c>
      <c r="T44" s="1455" t="s">
        <v>2256</v>
      </c>
      <c r="U44" s="1565" t="s">
        <v>2090</v>
      </c>
      <c r="V44" s="1459">
        <f>IFERROR(VLOOKUP(K42,【参考】数式用!$A$5:$AB$27,MATCH(U44,【参考】数式用!$B$4:$AB$4,0)+1,0),"")</f>
        <v>0.09</v>
      </c>
      <c r="W44" s="1461" t="s">
        <v>19</v>
      </c>
      <c r="X44" s="1560">
        <v>7</v>
      </c>
      <c r="Y44" s="1403" t="s">
        <v>10</v>
      </c>
      <c r="Z44" s="1560">
        <v>2</v>
      </c>
      <c r="AA44" s="1403" t="s">
        <v>45</v>
      </c>
      <c r="AB44" s="1560">
        <v>7</v>
      </c>
      <c r="AC44" s="1403" t="s">
        <v>10</v>
      </c>
      <c r="AD44" s="1560">
        <v>3</v>
      </c>
      <c r="AE44" s="1403" t="s">
        <v>2161</v>
      </c>
      <c r="AF44" s="1403" t="s">
        <v>24</v>
      </c>
      <c r="AG44" s="1403">
        <f>IF(X44&gt;=1,(AB44*12+AD44)-(X44*12+Z44)+1,"")</f>
        <v>2</v>
      </c>
      <c r="AH44" s="1405" t="s">
        <v>38</v>
      </c>
      <c r="AI44" s="1407">
        <f t="shared" ref="AI44" si="29">IFERROR(ROUNDDOWN(ROUND(L42*V44,0)*M42,0)*AG44,"")</f>
        <v>3531600</v>
      </c>
      <c r="AJ44" s="1573">
        <f>IFERROR(ROUNDDOWN(ROUND((L42*(V44-AX42)),0)*M42,0)*AG44,"")</f>
        <v>3531600</v>
      </c>
      <c r="AK44" s="1490">
        <f>IFERROR(ROUNDDOWN(ROUNDDOWN(ROUND(L42*VLOOKUP(K42,【参考】数式用!$A$5:$AB$27,MATCH("新加算Ⅳ",【参考】数式用!$B$4:$AB$4,0)+1,0),0)*M42,0)*AG44*0.5,0),"")</f>
        <v>1765800</v>
      </c>
      <c r="AL44" s="1575"/>
      <c r="AM44" s="1577" t="str">
        <f>IFERROR(IF(OR(N45="ベア加算",N45=""),"", IF(OR(U44="新加算Ⅰ",U44="新加算Ⅱ",U44="新加算Ⅲ",U44="新加算Ⅳ"),ROUNDDOWN(ROUND(L42*VLOOKUP(K42,【参考】数式用!$A$5:$I$27,MATCH("ベア加算",【参考】数式用!$B$4:$I$4,0)+1,0),0)*M42,0)*AG44,"")),"")</f>
        <v/>
      </c>
      <c r="AN44" s="1544"/>
      <c r="AO44" s="1550" t="s">
        <v>2169</v>
      </c>
      <c r="AP44" s="1548"/>
      <c r="AQ44" s="1550"/>
      <c r="AR44" s="1552"/>
      <c r="AS44" s="1554"/>
      <c r="AT44" s="1528"/>
      <c r="AU44" s="534"/>
      <c r="AV44" s="1489" t="str">
        <f t="shared" ref="AV44" si="30">IF(OR(AB42&lt;&gt;7,AD42&lt;&gt;3),"V列に色付け","")</f>
        <v>V列に色付け</v>
      </c>
      <c r="AW44" s="1514"/>
      <c r="AX44" s="1503"/>
      <c r="AY44" s="661"/>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東京都</v>
      </c>
      <c r="BG44" s="1489"/>
      <c r="BH44" s="1489"/>
    </row>
    <row r="45" spans="1:60" ht="30" customHeight="1" thickBot="1">
      <c r="A45" s="1224"/>
      <c r="B45" s="1373"/>
      <c r="C45" s="1374"/>
      <c r="D45" s="1374"/>
      <c r="E45" s="1374"/>
      <c r="F45" s="1375"/>
      <c r="G45" s="1264"/>
      <c r="H45" s="1264"/>
      <c r="I45" s="1264"/>
      <c r="J45" s="1370"/>
      <c r="K45" s="1264"/>
      <c r="L45" s="1448"/>
      <c r="M45" s="1450"/>
      <c r="N45" s="640" t="str">
        <f>IF('別紙様式2-2（４・５月分）'!Q37="","",'別紙様式2-2（４・５月分）'!Q37)</f>
        <v>ベア加算</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78"/>
      <c r="AN45" s="1545"/>
      <c r="AO45" s="1551"/>
      <c r="AP45" s="1549"/>
      <c r="AQ45" s="1551"/>
      <c r="AR45" s="1553"/>
      <c r="AS45" s="1555"/>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9"/>
      <c r="AW45" s="642" t="str">
        <f>IF('別紙様式2-2（４・５月分）'!O37="","",'別紙様式2-2（４・５月分）'!O37)</f>
        <v>ベア加算なし</v>
      </c>
      <c r="AX45" s="1503"/>
      <c r="AY45" s="663"/>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東京都</v>
      </c>
      <c r="BG45" s="1489"/>
      <c r="BH45" s="1489"/>
    </row>
    <row r="46" spans="1:60"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446">
        <f>IF(基本情報入力シート!AB62="","",基本情報入力シート!AB62)</f>
        <v>1935000</v>
      </c>
      <c r="M46" s="1443">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2247</v>
      </c>
      <c r="U46" s="1558" t="str">
        <f>IF('別紙様式2-3（６月以降分）'!U46="","",'別紙様式2-3（６月以降分）'!U46)</f>
        <v>新加算Ⅲ</v>
      </c>
      <c r="V46" s="1453">
        <f>IFERROR(VLOOKUP(K46,【参考】数式用!$A$5:$AB$27,MATCH(U46,【参考】数式用!$B$4:$AB$4,0)+1,0),"")</f>
        <v>7.9999999999999988E-2</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2161</v>
      </c>
      <c r="AF46" s="1351" t="s">
        <v>24</v>
      </c>
      <c r="AG46" s="1351">
        <f>IF(X46&gt;=1,(AB46*12+AD46)-(X46*12+Z46)+1,"")</f>
        <v>10</v>
      </c>
      <c r="AH46" s="1357" t="s">
        <v>38</v>
      </c>
      <c r="AI46" s="1477">
        <f>'別紙様式2-3（６月以降分）'!AI46</f>
        <v>16532640</v>
      </c>
      <c r="AJ46" s="1538">
        <f>'別紙様式2-3（６月以降分）'!AJ46</f>
        <v>16532640</v>
      </c>
      <c r="AK46" s="1534">
        <f>'別紙様式2-3（６月以降分）'!AK46</f>
        <v>6613055</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v>
      </c>
      <c r="AP46" s="1498" t="str">
        <f>IF('別紙様式2-3（６月以降分）'!AP46="","",'別紙様式2-3（６月以降分）'!AP46)</f>
        <v/>
      </c>
      <c r="AQ46" s="1399" t="str">
        <f>IF('別紙様式2-3（６月以降分）'!AQ46="","",'別紙様式2-3（６月以降分）'!AQ46)</f>
        <v>令和６年度中に満たす</v>
      </c>
      <c r="AR46" s="1579" t="str">
        <f>IF('別紙様式2-3（６月以降分）'!AR46="","",'別紙様式2-3（６月以降分）'!AR46)</f>
        <v/>
      </c>
      <c r="AS46" s="1532"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30"/>
      <c r="AW46" s="642" t="str">
        <f>IF('別紙様式2-2（４・５月分）'!O38="","",'別紙様式2-2（４・５月分）'!O38)</f>
        <v>処遇加算なし</v>
      </c>
      <c r="AX46" s="1503">
        <f>SUM('別紙様式2-2（４・５月分）'!P38:P40)</f>
        <v>0</v>
      </c>
      <c r="AY46" s="1588" t="str">
        <f>IFERROR(VLOOKUP(K46,【参考】数式用!$AJ$2:$AK$24,2,FALSE),"")</f>
        <v>地域密着型通所介護</v>
      </c>
      <c r="AZ46" s="576"/>
      <c r="BE46" s="420"/>
      <c r="BF46" s="1489" t="str">
        <f>G46</f>
        <v>千葉県</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特定加算なし</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4"/>
      <c r="AV47" s="1489"/>
      <c r="AW47" s="1514" t="str">
        <f>IF('別紙様式2-2（４・５月分）'!O39="","",'別紙様式2-2（４・５月分）'!O39)</f>
        <v>特定加算なし</v>
      </c>
      <c r="AX47" s="1503"/>
      <c r="AY47" s="1587"/>
      <c r="AZ47" s="513"/>
      <c r="BE47" s="420"/>
      <c r="BF47" s="1489" t="str">
        <f>G46</f>
        <v>千葉県</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IFERROR(VLOOKUP('別紙様式2-2（４・５月分）'!AR38,【参考】数式用!$AT$5:$AV$22,3,FALSE),"")</f>
        <v>新加算Ⅴ（13）</v>
      </c>
      <c r="R48" s="1385" t="s">
        <v>2179</v>
      </c>
      <c r="S48" s="1393">
        <f>IFERROR(VLOOKUP(K46,【参考】数式用!$A$5:$AB$27,MATCH(Q48,【参考】数式用!$B$4:$AB$4,0)+1,0),"")</f>
        <v>4.4000000000000004E-2</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77" t="str">
        <f>IFERROR(IF(OR(N49="ベア加算",N49=""),"", IF(OR(U48="新加算Ⅰ",U48="新加算Ⅱ",U48="新加算Ⅲ",U48="新加算Ⅳ"),ROUNDDOWN(ROUND(L46*VLOOKUP(K46,【参考】数式用!$A$5:$I$27,MATCH("ベア加算",【参考】数式用!$B$4:$I$4,0)+1,0),0)*M46,0)*AG48,"")),"")</f>
        <v/>
      </c>
      <c r="AN48" s="1544"/>
      <c r="AO48" s="1550"/>
      <c r="AP48" s="1548"/>
      <c r="AQ48" s="1550"/>
      <c r="AR48" s="1552"/>
      <c r="AS48" s="1554"/>
      <c r="AT48" s="1528"/>
      <c r="AU48" s="534"/>
      <c r="AV48" s="1489" t="str">
        <f t="shared" ref="AV48" si="35">IF(OR(AB46&lt;&gt;7,AD46&lt;&gt;3),"V列に色付け","")</f>
        <v/>
      </c>
      <c r="AW48" s="1514"/>
      <c r="AX48" s="1503"/>
      <c r="AY48" s="661"/>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千葉県</v>
      </c>
      <c r="BG48" s="1489"/>
      <c r="BH48" s="1489"/>
    </row>
    <row r="49" spans="1:60" ht="30" customHeight="1" thickBot="1">
      <c r="A49" s="1224"/>
      <c r="B49" s="1373"/>
      <c r="C49" s="1374"/>
      <c r="D49" s="1374"/>
      <c r="E49" s="1374"/>
      <c r="F49" s="1375"/>
      <c r="G49" s="1264"/>
      <c r="H49" s="1264"/>
      <c r="I49" s="1264"/>
      <c r="J49" s="1370"/>
      <c r="K49" s="1264"/>
      <c r="L49" s="1448"/>
      <c r="M49" s="1445"/>
      <c r="N49" s="640" t="str">
        <f>IF('別紙様式2-2（４・５月分）'!Q40="","",'別紙様式2-2（４・５月分）'!Q40)</f>
        <v>ベア加算</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78"/>
      <c r="AN49" s="1545"/>
      <c r="AO49" s="1551"/>
      <c r="AP49" s="1549"/>
      <c r="AQ49" s="1551"/>
      <c r="AR49" s="1553"/>
      <c r="AS49" s="1555"/>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9"/>
      <c r="AW49" s="642" t="str">
        <f>IF('別紙様式2-2（４・５月分）'!O40="","",'別紙様式2-2（４・５月分）'!O40)</f>
        <v>ベア加算なし</v>
      </c>
      <c r="AX49" s="1503"/>
      <c r="AY49" s="663"/>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千葉県</v>
      </c>
      <c r="BG49" s="1489"/>
      <c r="BH49" s="1489"/>
    </row>
    <row r="50" spans="1:60"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446">
        <f>IF(基本情報入力シート!AB63="","",基本情報入力シート!AB63)</f>
        <v>1935000</v>
      </c>
      <c r="M50" s="1581">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2247</v>
      </c>
      <c r="U50" s="1558" t="str">
        <f>IF('別紙様式2-3（６月以降分）'!U50="","",'別紙様式2-3（６月以降分）'!U50)</f>
        <v>新加算Ⅴ（14）</v>
      </c>
      <c r="V50" s="1453">
        <f>IFERROR(VLOOKUP(K50,【参考】数式用!$A$5:$AB$27,MATCH(U50,【参考】数式用!$B$4:$AB$4,0)+1,0),"")</f>
        <v>3.3000000000000002E-2</v>
      </c>
      <c r="W50" s="1347" t="s">
        <v>19</v>
      </c>
      <c r="X50" s="1530">
        <f>'別紙様式2-3（６月以降分）'!X50</f>
        <v>6</v>
      </c>
      <c r="Y50" s="1351" t="s">
        <v>10</v>
      </c>
      <c r="Z50" s="1530">
        <f>'別紙様式2-3（６月以降分）'!Z50</f>
        <v>6</v>
      </c>
      <c r="AA50" s="1351" t="s">
        <v>45</v>
      </c>
      <c r="AB50" s="1530">
        <f>'別紙様式2-3（６月以降分）'!AB50</f>
        <v>6</v>
      </c>
      <c r="AC50" s="1351" t="s">
        <v>10</v>
      </c>
      <c r="AD50" s="1530">
        <f>'別紙様式2-3（６月以降分）'!AD50</f>
        <v>12</v>
      </c>
      <c r="AE50" s="1351" t="s">
        <v>2161</v>
      </c>
      <c r="AF50" s="1351" t="s">
        <v>24</v>
      </c>
      <c r="AG50" s="1351">
        <f>IF(X50&gt;=1,(AB50*12+AD50)-(X50*12+Z50)+1,"")</f>
        <v>7</v>
      </c>
      <c r="AH50" s="1357" t="s">
        <v>38</v>
      </c>
      <c r="AI50" s="1477">
        <f>'別紙様式2-3（６月以降分）'!AI50</f>
        <v>4872133</v>
      </c>
      <c r="AJ50" s="1538">
        <f>'別紙様式2-3（６月以降分）'!AJ50</f>
        <v>4872133</v>
      </c>
      <c r="AK50" s="1534">
        <f>'別紙様式2-3（６月以降分）'!AK50</f>
        <v>4724496</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30"/>
      <c r="AW50" s="642" t="str">
        <f>IF('別紙様式2-2（４・５月分）'!O41="","",'別紙様式2-2（４・５月分）'!O41)</f>
        <v>処遇加算なし</v>
      </c>
      <c r="AX50" s="1503">
        <f>SUM('別紙様式2-2（４・５月分）'!P41:P43)</f>
        <v>0</v>
      </c>
      <c r="AY50" s="1587" t="str">
        <f>IFERROR(VLOOKUP(K50,【参考】数式用!$AJ$2:$AK$24,2,FALSE),"")</f>
        <v>通所介護</v>
      </c>
      <c r="AZ50" s="576"/>
      <c r="BE50" s="420"/>
      <c r="BF50" s="1489" t="str">
        <f>G50</f>
        <v>東京都</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特定加算なし</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4"/>
      <c r="AV51" s="1489"/>
      <c r="AW51" s="1514" t="str">
        <f>IF('別紙様式2-2（４・５月分）'!O42="","",'別紙様式2-2（４・５月分）'!O42)</f>
        <v>特定加算なし</v>
      </c>
      <c r="AX51" s="1503"/>
      <c r="AY51" s="1587"/>
      <c r="AZ51" s="513"/>
      <c r="BE51" s="420"/>
      <c r="BF51" s="1489" t="str">
        <f>G50</f>
        <v>東京都</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IFERROR(VLOOKUP('別紙様式2-2（４・５月分）'!AR41,【参考】数式用!$AT$5:$AV$22,3,FALSE),"")</f>
        <v xml:space="preserve"> </v>
      </c>
      <c r="R52" s="1385" t="s">
        <v>2179</v>
      </c>
      <c r="S52" s="1391" t="str">
        <f>IFERROR(VLOOKUP(K50,【参考】数式用!$A$5:$AB$27,MATCH(Q52,【参考】数式用!$B$4:$AB$4,0)+1,0),"")</f>
        <v/>
      </c>
      <c r="T52" s="1455" t="s">
        <v>2256</v>
      </c>
      <c r="U52" s="1565" t="s">
        <v>2089</v>
      </c>
      <c r="V52" s="1459">
        <f>IFERROR(VLOOKUP(K50,【参考】数式用!$A$5:$AB$27,MATCH(U52,【参考】数式用!$B$4:$AB$4,0)+1,0),"")</f>
        <v>7.9999999999999988E-2</v>
      </c>
      <c r="W52" s="1461" t="s">
        <v>19</v>
      </c>
      <c r="X52" s="1560">
        <v>7</v>
      </c>
      <c r="Y52" s="1403" t="s">
        <v>10</v>
      </c>
      <c r="Z52" s="1560">
        <v>1</v>
      </c>
      <c r="AA52" s="1403" t="s">
        <v>45</v>
      </c>
      <c r="AB52" s="1560">
        <v>7</v>
      </c>
      <c r="AC52" s="1403" t="s">
        <v>10</v>
      </c>
      <c r="AD52" s="1560">
        <v>3</v>
      </c>
      <c r="AE52" s="1403" t="s">
        <v>2161</v>
      </c>
      <c r="AF52" s="1403" t="s">
        <v>24</v>
      </c>
      <c r="AG52" s="1403">
        <f>IF(X52&gt;=1,(AB52*12+AD52)-(X52*12+Z52)+1,"")</f>
        <v>3</v>
      </c>
      <c r="AH52" s="1405" t="s">
        <v>38</v>
      </c>
      <c r="AI52" s="1407">
        <f t="shared" ref="AI52" si="39">IFERROR(ROUNDDOWN(ROUND(L50*V52,0)*M50,0)*AG52,"")</f>
        <v>5061960</v>
      </c>
      <c r="AJ52" s="1573">
        <f>IFERROR(ROUNDDOWN(ROUND((L50*(V52-AX50)),0)*M50,0)*AG52,"")</f>
        <v>5061960</v>
      </c>
      <c r="AK52" s="1490">
        <f>IFERROR(ROUNDDOWN(ROUNDDOWN(ROUND(L50*VLOOKUP(K50,【参考】数式用!$A$5:$AB$27,MATCH("新加算Ⅳ",【参考】数式用!$B$4:$AB$4,0)+1,0),0)*M50,0)*AG52*0.5,0),"")</f>
        <v>2024784</v>
      </c>
      <c r="AL52" s="1575"/>
      <c r="AM52" s="1577">
        <f>IFERROR(IF(OR(N53="ベア加算",N53=""),"", IF(OR(U52="新加算Ⅰ",U52="新加算Ⅱ",U52="新加算Ⅲ",U52="新加算Ⅳ"),ROUNDDOWN(ROUND(L50*VLOOKUP(K50,【参考】数式用!$A$5:$I$27,MATCH("ベア加算",【参考】数式用!$B$4:$I$4,0)+1,0),0)*M50,0)*AG52,"")),"")</f>
        <v>696018</v>
      </c>
      <c r="AN52" s="1544" t="s">
        <v>2419</v>
      </c>
      <c r="AO52" s="1550" t="s">
        <v>2419</v>
      </c>
      <c r="AP52" s="1548"/>
      <c r="AQ52" s="1550" t="s">
        <v>2419</v>
      </c>
      <c r="AR52" s="1552"/>
      <c r="AS52" s="1554"/>
      <c r="AT52" s="1528"/>
      <c r="AU52" s="534"/>
      <c r="AV52" s="1489" t="str">
        <f t="shared" ref="AV52" si="40">IF(OR(AB50&lt;&gt;7,AD50&lt;&gt;3),"V列に色付け","")</f>
        <v>V列に色付け</v>
      </c>
      <c r="AW52" s="1514"/>
      <c r="AX52" s="1503"/>
      <c r="AY52" s="661"/>
      <c r="AZ52" s="1318" t="str">
        <f>IF(AM52&lt;&gt;"",IF(AN52="○","入力済","未入力"),"")</f>
        <v>入力済</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入力済</v>
      </c>
      <c r="BD52" s="158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東京都</v>
      </c>
      <c r="BG52" s="1489"/>
      <c r="BH52" s="1489"/>
    </row>
    <row r="53" spans="1:60" ht="30" customHeight="1" thickBot="1">
      <c r="A53" s="1224"/>
      <c r="B53" s="1373"/>
      <c r="C53" s="1374"/>
      <c r="D53" s="1374"/>
      <c r="E53" s="1374"/>
      <c r="F53" s="1375"/>
      <c r="G53" s="1264"/>
      <c r="H53" s="1264"/>
      <c r="I53" s="1264"/>
      <c r="J53" s="1370"/>
      <c r="K53" s="1264"/>
      <c r="L53" s="1448"/>
      <c r="M53" s="1450"/>
      <c r="N53" s="640" t="str">
        <f>IF('別紙様式2-2（４・５月分）'!Q43="","",'別紙様式2-2（４・５月分）'!Q43)</f>
        <v>ベア加算なし</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78"/>
      <c r="AN53" s="1545"/>
      <c r="AO53" s="1551"/>
      <c r="AP53" s="1549"/>
      <c r="AQ53" s="1551"/>
      <c r="AR53" s="1553"/>
      <c r="AS53" s="1555"/>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9"/>
      <c r="AW53" s="642" t="str">
        <f>IF('別紙様式2-2（４・５月分）'!O43="","",'別紙様式2-2（４・５月分）'!O43)</f>
        <v>ベア加算なし</v>
      </c>
      <c r="AX53" s="1503"/>
      <c r="AY53" s="663"/>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東京都</v>
      </c>
      <c r="BG53" s="1489"/>
      <c r="BH53" s="1489"/>
    </row>
    <row r="54" spans="1:60"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446">
        <f>IF(基本情報入力シート!AB64="","",基本情報入力シート!AB64)</f>
        <v>1920000</v>
      </c>
      <c r="M54" s="1443">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2247</v>
      </c>
      <c r="U54" s="1558" t="str">
        <f>IF('別紙様式2-3（６月以降分）'!U54="","",'別紙様式2-3（６月以降分）'!U54)</f>
        <v>新加算Ⅱ</v>
      </c>
      <c r="V54" s="1453">
        <f>IFERROR(VLOOKUP(K54,【参考】数式用!$A$5:$AB$27,MATCH(U54,【参考】数式用!$B$4:$AB$4,0)+1,0),"")</f>
        <v>0.14600000000000002</v>
      </c>
      <c r="W54" s="1347" t="s">
        <v>19</v>
      </c>
      <c r="X54" s="1530">
        <f>'別紙様式2-3（６月以降分）'!X54</f>
        <v>6</v>
      </c>
      <c r="Y54" s="1351" t="s">
        <v>10</v>
      </c>
      <c r="Z54" s="1530">
        <f>'別紙様式2-3（６月以降分）'!Z54</f>
        <v>6</v>
      </c>
      <c r="AA54" s="1351" t="s">
        <v>45</v>
      </c>
      <c r="AB54" s="1530">
        <f>'別紙様式2-3（６月以降分）'!AB54</f>
        <v>6</v>
      </c>
      <c r="AC54" s="1351" t="s">
        <v>10</v>
      </c>
      <c r="AD54" s="1530">
        <f>'別紙様式2-3（６月以降分）'!AD54</f>
        <v>11</v>
      </c>
      <c r="AE54" s="1351" t="s">
        <v>2161</v>
      </c>
      <c r="AF54" s="1351" t="s">
        <v>24</v>
      </c>
      <c r="AG54" s="1351">
        <f>IF(X54&gt;=1,(AB54*12+AD54)-(X54*12+Z54)+1,"")</f>
        <v>6</v>
      </c>
      <c r="AH54" s="1357" t="s">
        <v>38</v>
      </c>
      <c r="AI54" s="1477">
        <f>'別紙様式2-3（６月以降分）'!AI54</f>
        <v>18215190</v>
      </c>
      <c r="AJ54" s="1538">
        <f>'別紙様式2-3（６月以降分）'!AJ54</f>
        <v>18215190</v>
      </c>
      <c r="AK54" s="1534">
        <f>'別紙様式2-3（６月以降分）'!AK54</f>
        <v>6612363</v>
      </c>
      <c r="AL54" s="1536" t="str">
        <f>IF('別紙様式2-3（６月以降分）'!AL54="","",'別紙様式2-3（６月以降分）'!AL54)</f>
        <v/>
      </c>
      <c r="AM54" s="1567">
        <f>'別紙様式2-3（６月以降分）'!AM54</f>
        <v>2120946</v>
      </c>
      <c r="AN54" s="1569" t="str">
        <f>IF('別紙様式2-3（６月以降分）'!AN54="","",'別紙様式2-3（６月以降分）'!AN54)</f>
        <v>○</v>
      </c>
      <c r="AO54" s="1399" t="str">
        <f>IF('別紙様式2-3（６月以降分）'!AO54="","",'別紙様式2-3（６月以降分）'!AO54)</f>
        <v>○</v>
      </c>
      <c r="AP54" s="1498" t="str">
        <f>IF('別紙様式2-3（６月以降分）'!AP54="","",'別紙様式2-3（６月以降分）'!AP54)</f>
        <v/>
      </c>
      <c r="AQ54" s="1399" t="str">
        <f>IF('別紙様式2-3（６月以降分）'!AQ54="","",'別紙様式2-3（６月以降分）'!AQ54)</f>
        <v>令和６年度中に満たす</v>
      </c>
      <c r="AR54" s="1579">
        <f>IF('別紙様式2-3（６月以降分）'!AR54="","",'別紙様式2-3（６月以降分）'!AR54)</f>
        <v>1</v>
      </c>
      <c r="AS54" s="1532"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30"/>
      <c r="AW54" s="642" t="str">
        <f>IF('別紙様式2-2（４・５月分）'!O44="","",'別紙様式2-2（４・５月分）'!O44)</f>
        <v>処遇加算なし</v>
      </c>
      <c r="AX54" s="1503">
        <f>SUM('別紙様式2-2（４・５月分）'!P44:P46)</f>
        <v>0</v>
      </c>
      <c r="AY54" s="1588" t="str">
        <f>IFERROR(VLOOKUP(K54,【参考】数式用!$AJ$2:$AK$24,2,FALSE),"")</f>
        <v>看護小規模多機能型居宅介護</v>
      </c>
      <c r="AZ54" s="576"/>
      <c r="BE54" s="420"/>
      <c r="BF54" s="1489" t="str">
        <f>G54</f>
        <v>千葉県</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特定加算Ⅱ</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4"/>
      <c r="AV55" s="1489"/>
      <c r="AW55" s="1514" t="str">
        <f>IF('別紙様式2-2（４・５月分）'!O45="","",'別紙様式2-2（４・５月分）'!O45)</f>
        <v>特定加算なし</v>
      </c>
      <c r="AX55" s="1503"/>
      <c r="AY55" s="1587"/>
      <c r="AZ55" s="513"/>
      <c r="BE55" s="420"/>
      <c r="BF55" s="1489" t="str">
        <f>G54</f>
        <v>千葉県</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IFERROR(VLOOKUP('別紙様式2-2（４・５月分）'!AR44,【参考】数式用!$AT$5:$AV$22,3,FALSE),"")</f>
        <v xml:space="preserve"> </v>
      </c>
      <c r="R56" s="1385" t="s">
        <v>2179</v>
      </c>
      <c r="S56" s="1393" t="str">
        <f>IFERROR(VLOOKUP(K54,【参考】数式用!$A$5:$AB$27,MATCH(Q56,【参考】数式用!$B$4:$AB$4,0)+1,0),"")</f>
        <v/>
      </c>
      <c r="T56" s="1455" t="s">
        <v>2256</v>
      </c>
      <c r="U56" s="1565" t="s">
        <v>2087</v>
      </c>
      <c r="V56" s="1459">
        <f>IFERROR(VLOOKUP(K54,【参考】数式用!$A$5:$AB$27,MATCH(U56,【参考】数式用!$B$4:$AB$4,0)+1,0),"")</f>
        <v>0.14900000000000002</v>
      </c>
      <c r="W56" s="1461" t="s">
        <v>19</v>
      </c>
      <c r="X56" s="1560">
        <v>6</v>
      </c>
      <c r="Y56" s="1403" t="s">
        <v>10</v>
      </c>
      <c r="Z56" s="1560">
        <v>12</v>
      </c>
      <c r="AA56" s="1403" t="s">
        <v>45</v>
      </c>
      <c r="AB56" s="1560">
        <v>7</v>
      </c>
      <c r="AC56" s="1403" t="s">
        <v>10</v>
      </c>
      <c r="AD56" s="1560">
        <v>3</v>
      </c>
      <c r="AE56" s="1403" t="s">
        <v>2161</v>
      </c>
      <c r="AF56" s="1403" t="s">
        <v>24</v>
      </c>
      <c r="AG56" s="1403">
        <f>IF(X56&gt;=1,(AB56*12+AD56)-(X56*12+Z56)+1,"")</f>
        <v>4</v>
      </c>
      <c r="AH56" s="1405" t="s">
        <v>38</v>
      </c>
      <c r="AI56" s="1407">
        <f t="shared" ref="AI56" si="44">IFERROR(ROUNDDOWN(ROUND(L54*V56,0)*M54,0)*AG56,"")</f>
        <v>12392984</v>
      </c>
      <c r="AJ56" s="1573">
        <f>IFERROR(ROUNDDOWN(ROUND((L54*(V56-AX54)),0)*M54,0)*AG56,"")</f>
        <v>12392984</v>
      </c>
      <c r="AK56" s="1490">
        <f>IFERROR(ROUNDDOWN(ROUNDDOWN(ROUND(L54*VLOOKUP(K54,【参考】数式用!$A$5:$AB$27,MATCH("新加算Ⅳ",【参考】数式用!$B$4:$AB$4,0)+1,0),0)*M54,0)*AG56*0.5,0),"")</f>
        <v>4408242</v>
      </c>
      <c r="AL56" s="1575"/>
      <c r="AM56" s="1577">
        <f>IFERROR(IF(OR(N57="ベア加算",N57=""),"", IF(OR(U56="新加算Ⅰ",U56="新加算Ⅱ",U56="新加算Ⅲ",U56="新加算Ⅳ"),ROUNDDOWN(ROUND(L54*VLOOKUP(K54,【参考】数式用!$A$5:$I$27,MATCH("ベア加算",【参考】数式用!$B$4:$I$4,0)+1,0),0)*M54,0)*AG56,"")),"")</f>
        <v>1413964</v>
      </c>
      <c r="AN56" s="1544" t="s">
        <v>2419</v>
      </c>
      <c r="AO56" s="1550" t="s">
        <v>2419</v>
      </c>
      <c r="AP56" s="1548"/>
      <c r="AQ56" s="1550" t="s">
        <v>2419</v>
      </c>
      <c r="AR56" s="1552">
        <v>1</v>
      </c>
      <c r="AS56" s="1554" t="s">
        <v>2271</v>
      </c>
      <c r="AT56" s="1528"/>
      <c r="AU56" s="534"/>
      <c r="AV56" s="1489" t="str">
        <f t="shared" ref="AV56" si="45">IF(OR(AB54&lt;&gt;7,AD54&lt;&gt;3),"V列に色付け","")</f>
        <v>V列に色付け</v>
      </c>
      <c r="AW56" s="1514"/>
      <c r="AX56" s="1503"/>
      <c r="AY56" s="661"/>
      <c r="AZ56" s="1318" t="str">
        <f>IF(AM56&lt;&gt;"",IF(AN56="○","入力済","未入力"),"")</f>
        <v>入力済</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入力済</v>
      </c>
      <c r="BD56" s="1586">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489" t="str">
        <f>IF(OR(U56="新加算Ⅰ",U56="新加算Ⅴ（１）",U56="新加算Ⅴ（２）",U56="新加算Ⅴ（５）",U56="新加算Ⅴ（７）",U56="新加算Ⅴ（10）"),IF(AS56="","未入力","入力済"),"")</f>
        <v>入力済</v>
      </c>
      <c r="BF56" s="1489" t="str">
        <f>G54</f>
        <v>千葉県</v>
      </c>
      <c r="BG56" s="1489"/>
      <c r="BH56" s="1489"/>
    </row>
    <row r="57" spans="1:60" ht="30" customHeight="1" thickBot="1">
      <c r="A57" s="1224"/>
      <c r="B57" s="1373"/>
      <c r="C57" s="1374"/>
      <c r="D57" s="1374"/>
      <c r="E57" s="1374"/>
      <c r="F57" s="1375"/>
      <c r="G57" s="1264"/>
      <c r="H57" s="1264"/>
      <c r="I57" s="1264"/>
      <c r="J57" s="1370"/>
      <c r="K57" s="1264"/>
      <c r="L57" s="1448"/>
      <c r="M57" s="1445"/>
      <c r="N57" s="640" t="str">
        <f>IF('別紙様式2-2（４・５月分）'!Q46="","",'別紙様式2-2（４・５月分）'!Q46)</f>
        <v>ベア加算なし</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78"/>
      <c r="AN57" s="1545"/>
      <c r="AO57" s="1551"/>
      <c r="AP57" s="1549"/>
      <c r="AQ57" s="1551"/>
      <c r="AR57" s="1553"/>
      <c r="AS57" s="1555"/>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9"/>
      <c r="AW57" s="642" t="str">
        <f>IF('別紙様式2-2（４・５月分）'!O46="","",'別紙様式2-2（４・５月分）'!O46)</f>
        <v>ベア加算なし</v>
      </c>
      <c r="AX57" s="1503"/>
      <c r="AY57" s="663"/>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千葉県</v>
      </c>
      <c r="BG57" s="1489"/>
      <c r="BH57" s="1489"/>
    </row>
    <row r="58" spans="1:60"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447">
        <f>IF(基本情報入力シート!AB65="","",基本情報入力シート!AB65)</f>
        <v>1800000</v>
      </c>
      <c r="M58" s="1449">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2247</v>
      </c>
      <c r="U58" s="1558" t="str">
        <f>IF('別紙様式2-3（６月以降分）'!U58="","",'別紙様式2-3（６月以降分）'!U58)</f>
        <v>新加算Ⅳ</v>
      </c>
      <c r="V58" s="1453">
        <f>IFERROR(VLOOKUP(K58,【参考】数式用!$A$5:$AB$27,MATCH(U58,【参考】数式用!$B$4:$AB$4,0)+1,0),"")</f>
        <v>2.9000000000000001E-2</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2161</v>
      </c>
      <c r="AF58" s="1351" t="s">
        <v>24</v>
      </c>
      <c r="AG58" s="1351">
        <f>IF(X58&gt;=1,(AB58*12+AD58)-(X58*12+Z58)+1,"")</f>
        <v>10</v>
      </c>
      <c r="AH58" s="1357" t="s">
        <v>38</v>
      </c>
      <c r="AI58" s="1477">
        <f>'別紙様式2-3（６月以降分）'!AI58</f>
        <v>5689800</v>
      </c>
      <c r="AJ58" s="1538">
        <f>'別紙様式2-3（６月以降分）'!AJ58</f>
        <v>5689800</v>
      </c>
      <c r="AK58" s="1534">
        <f>'別紙様式2-3（６月以降分）'!AK58</f>
        <v>2844900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30"/>
      <c r="AW58" s="642" t="str">
        <f>IF('別紙様式2-2（４・５月分）'!O47="","",'別紙様式2-2（４・５月分）'!O47)</f>
        <v/>
      </c>
      <c r="AX58" s="1503">
        <f>SUM('別紙様式2-2（４・５月分）'!P47:P49)</f>
        <v>0</v>
      </c>
      <c r="AY58" s="1587" t="str">
        <f>IFERROR(VLOOKUP(K58,【参考】数式用!$AJ$2:$AK$24,2,FALSE),"")</f>
        <v>介護医療院</v>
      </c>
      <c r="AZ58" s="576"/>
      <c r="BE58" s="420"/>
      <c r="BF58" s="1489" t="str">
        <f>G58</f>
        <v>東京都</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4"/>
      <c r="AV59" s="1489"/>
      <c r="AW59" s="1514" t="str">
        <f>IF('別紙様式2-2（４・５月分）'!O48="","",'別紙様式2-2（４・５月分）'!O48)</f>
        <v/>
      </c>
      <c r="AX59" s="1503"/>
      <c r="AY59" s="1587"/>
      <c r="AZ59" s="513"/>
      <c r="BE59" s="420"/>
      <c r="BF59" s="1489" t="str">
        <f>G58</f>
        <v>東京都</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77" t="str">
        <f>IFERROR(IF(OR(N61="ベア加算",N61=""),"", IF(OR(U60="新加算Ⅰ",U60="新加算Ⅱ",U60="新加算Ⅲ",U60="新加算Ⅳ"),ROUNDDOWN(ROUND(L58*VLOOKUP(K58,【参考】数式用!$A$5:$I$27,MATCH("ベア加算",【参考】数式用!$B$4:$I$4,0)+1,0),0)*M58,0)*AG60,"")),"")</f>
        <v/>
      </c>
      <c r="AN60" s="1544"/>
      <c r="AO60" s="1550"/>
      <c r="AP60" s="1548"/>
      <c r="AQ60" s="1550"/>
      <c r="AR60" s="1552"/>
      <c r="AS60" s="1554"/>
      <c r="AT60" s="1528"/>
      <c r="AU60" s="534"/>
      <c r="AV60" s="1489" t="str">
        <f t="shared" ref="AV60" si="50">IF(OR(AB58&lt;&gt;7,AD58&lt;&gt;3),"V列に色付け","")</f>
        <v/>
      </c>
      <c r="AW60" s="1514"/>
      <c r="AX60" s="1503"/>
      <c r="AY60" s="661"/>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東京都</v>
      </c>
      <c r="BG60" s="1489"/>
      <c r="BH60" s="1489"/>
    </row>
    <row r="61" spans="1:60" ht="30" customHeight="1" thickBot="1">
      <c r="A61" s="1224"/>
      <c r="B61" s="1373"/>
      <c r="C61" s="1374"/>
      <c r="D61" s="1374"/>
      <c r="E61" s="1374"/>
      <c r="F61" s="1375"/>
      <c r="G61" s="1264"/>
      <c r="H61" s="1264"/>
      <c r="I61" s="1264"/>
      <c r="J61" s="1370"/>
      <c r="K61" s="1264"/>
      <c r="L61" s="1448"/>
      <c r="M61" s="1450"/>
      <c r="N61" s="640"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78"/>
      <c r="AN61" s="1545"/>
      <c r="AO61" s="1551"/>
      <c r="AP61" s="1549"/>
      <c r="AQ61" s="1551"/>
      <c r="AR61" s="1553"/>
      <c r="AS61" s="1555"/>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9"/>
      <c r="AW61" s="642" t="str">
        <f>IF('別紙様式2-2（４・５月分）'!O49="","",'別紙様式2-2（４・５月分）'!O49)</f>
        <v/>
      </c>
      <c r="AX61" s="1503"/>
      <c r="AY61" s="663"/>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東京都</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2247</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2161</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30"/>
      <c r="AW62" s="642" t="str">
        <f>IF('別紙様式2-2（４・５月分）'!O50="","",'別紙様式2-2（４・５月分）'!O50)</f>
        <v/>
      </c>
      <c r="AX62" s="1503">
        <f>SUM('別紙様式2-2（４・５月分）'!P50:P52)</f>
        <v>0</v>
      </c>
      <c r="AY62" s="1588" t="str">
        <f>IFERROR(VLOOKUP(K62,【参考】数式用!$AJ$2:$AK$24,2,FALSE),"")</f>
        <v/>
      </c>
      <c r="AZ62" s="576"/>
      <c r="BE62" s="420"/>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4"/>
      <c r="AV63" s="1489"/>
      <c r="AW63" s="1514" t="str">
        <f>IF('別紙様式2-2（４・５月分）'!O51="","",'別紙様式2-2（４・５月分）'!O51)</f>
        <v/>
      </c>
      <c r="AX63" s="1503"/>
      <c r="AY63" s="1587"/>
      <c r="AZ63" s="513"/>
      <c r="BE63" s="420"/>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77" t="str">
        <f>IFERROR(IF(OR(N65="ベア加算",N65=""),"", IF(OR(U64="新加算Ⅰ",U64="新加算Ⅱ",U64="新加算Ⅲ",U64="新加算Ⅳ"),ROUNDDOWN(ROUND(L62*VLOOKUP(K62,【参考】数式用!$A$5:$I$27,MATCH("ベア加算",【参考】数式用!$B$4:$I$4,0)+1,0),0)*M62,0)*AG64,"")),"")</f>
        <v/>
      </c>
      <c r="AN64" s="1544"/>
      <c r="AO64" s="1550"/>
      <c r="AP64" s="1548"/>
      <c r="AQ64" s="1550"/>
      <c r="AR64" s="1552"/>
      <c r="AS64" s="1554"/>
      <c r="AT64" s="1528"/>
      <c r="AU64" s="534"/>
      <c r="AV64" s="1489" t="str">
        <f t="shared" ref="AV64" si="55">IF(OR(AB62&lt;&gt;7,AD62&lt;&gt;3),"V列に色付け","")</f>
        <v/>
      </c>
      <c r="AW64" s="1514"/>
      <c r="AX64" s="1503"/>
      <c r="AY64" s="661"/>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0"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78"/>
      <c r="AN65" s="1545"/>
      <c r="AO65" s="1551"/>
      <c r="AP65" s="1549"/>
      <c r="AQ65" s="1551"/>
      <c r="AR65" s="1553"/>
      <c r="AS65" s="1555"/>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9"/>
      <c r="AW65" s="642" t="str">
        <f>IF('別紙様式2-2（４・５月分）'!O52="","",'別紙様式2-2（４・５月分）'!O52)</f>
        <v/>
      </c>
      <c r="AX65" s="1503"/>
      <c r="AY65" s="663"/>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2247</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2161</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30"/>
      <c r="AW66" s="642" t="str">
        <f>IF('別紙様式2-2（４・５月分）'!O53="","",'別紙様式2-2（４・５月分）'!O53)</f>
        <v/>
      </c>
      <c r="AX66" s="1503">
        <f>SUM('別紙様式2-2（４・５月分）'!P53:P55)</f>
        <v>0</v>
      </c>
      <c r="AY66" s="1587" t="str">
        <f>IFERROR(VLOOKUP(K66,【参考】数式用!$AJ$2:$AK$24,2,FALSE),"")</f>
        <v/>
      </c>
      <c r="AZ66" s="576"/>
      <c r="BE66" s="420"/>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4"/>
      <c r="AV67" s="1489"/>
      <c r="AW67" s="1514" t="str">
        <f>IF('別紙様式2-2（４・５月分）'!O54="","",'別紙様式2-2（４・５月分）'!O54)</f>
        <v/>
      </c>
      <c r="AX67" s="1503"/>
      <c r="AY67" s="1587"/>
      <c r="AZ67" s="513"/>
      <c r="BE67" s="420"/>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77" t="str">
        <f>IFERROR(IF(OR(N69="ベア加算",N69=""),"", IF(OR(U68="新加算Ⅰ",U68="新加算Ⅱ",U68="新加算Ⅲ",U68="新加算Ⅳ"),ROUNDDOWN(ROUND(L66*VLOOKUP(K66,【参考】数式用!$A$5:$I$27,MATCH("ベア加算",【参考】数式用!$B$4:$I$4,0)+1,0),0)*M66,0)*AG68,"")),"")</f>
        <v/>
      </c>
      <c r="AN68" s="1544"/>
      <c r="AO68" s="1550"/>
      <c r="AP68" s="1548"/>
      <c r="AQ68" s="1550"/>
      <c r="AR68" s="1552"/>
      <c r="AS68" s="1554"/>
      <c r="AT68" s="1528"/>
      <c r="AU68" s="534"/>
      <c r="AV68" s="1489" t="str">
        <f t="shared" ref="AV68" si="60">IF(OR(AB66&lt;&gt;7,AD66&lt;&gt;3),"V列に色付け","")</f>
        <v/>
      </c>
      <c r="AW68" s="1514"/>
      <c r="AX68" s="1503"/>
      <c r="AY68" s="661"/>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0"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78"/>
      <c r="AN69" s="1545"/>
      <c r="AO69" s="1551"/>
      <c r="AP69" s="1549"/>
      <c r="AQ69" s="1551"/>
      <c r="AR69" s="1553"/>
      <c r="AS69" s="1555"/>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9"/>
      <c r="AW69" s="642" t="str">
        <f>IF('別紙様式2-2（４・５月分）'!O55="","",'別紙様式2-2（４・５月分）'!O55)</f>
        <v/>
      </c>
      <c r="AX69" s="1503"/>
      <c r="AY69" s="663"/>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2247</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2161</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30"/>
      <c r="AW70" s="642" t="str">
        <f>IF('別紙様式2-2（４・５月分）'!O56="","",'別紙様式2-2（４・５月分）'!O56)</f>
        <v/>
      </c>
      <c r="AX70" s="1503">
        <f>SUM('別紙様式2-2（４・５月分）'!P56:P58)</f>
        <v>0</v>
      </c>
      <c r="AY70" s="1588" t="str">
        <f>IFERROR(VLOOKUP(K70,【参考】数式用!$AJ$2:$AK$24,2,FALSE),"")</f>
        <v/>
      </c>
      <c r="AZ70" s="576"/>
      <c r="BE70" s="420"/>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4"/>
      <c r="AV71" s="1489"/>
      <c r="AW71" s="1514" t="str">
        <f>IF('別紙様式2-2（４・５月分）'!O57="","",'別紙様式2-2（４・５月分）'!O57)</f>
        <v/>
      </c>
      <c r="AX71" s="1503"/>
      <c r="AY71" s="1587"/>
      <c r="AZ71" s="513"/>
      <c r="BE71" s="420"/>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77" t="str">
        <f>IFERROR(IF(OR(N73="ベア加算",N73=""),"", IF(OR(U72="新加算Ⅰ",U72="新加算Ⅱ",U72="新加算Ⅲ",U72="新加算Ⅳ"),ROUNDDOWN(ROUND(L70*VLOOKUP(K70,【参考】数式用!$A$5:$I$27,MATCH("ベア加算",【参考】数式用!$B$4:$I$4,0)+1,0),0)*M70,0)*AG72,"")),"")</f>
        <v/>
      </c>
      <c r="AN72" s="1544"/>
      <c r="AO72" s="1550"/>
      <c r="AP72" s="1548"/>
      <c r="AQ72" s="1550"/>
      <c r="AR72" s="1552"/>
      <c r="AS72" s="1554"/>
      <c r="AT72" s="1528"/>
      <c r="AU72" s="534"/>
      <c r="AV72" s="1489" t="str">
        <f t="shared" ref="AV72" si="65">IF(OR(AB70&lt;&gt;7,AD70&lt;&gt;3),"V列に色付け","")</f>
        <v/>
      </c>
      <c r="AW72" s="1514"/>
      <c r="AX72" s="1503"/>
      <c r="AY72" s="661"/>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0"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78"/>
      <c r="AN73" s="1545"/>
      <c r="AO73" s="1551"/>
      <c r="AP73" s="1549"/>
      <c r="AQ73" s="1551"/>
      <c r="AR73" s="1553"/>
      <c r="AS73" s="1555"/>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9"/>
      <c r="AW73" s="642" t="str">
        <f>IF('別紙様式2-2（４・５月分）'!O58="","",'別紙様式2-2（４・５月分）'!O58)</f>
        <v/>
      </c>
      <c r="AX73" s="1503"/>
      <c r="AY73" s="663"/>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2247</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2161</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30"/>
      <c r="AW74" s="642" t="str">
        <f>IF('別紙様式2-2（４・５月分）'!O59="","",'別紙様式2-2（４・５月分）'!O59)</f>
        <v/>
      </c>
      <c r="AX74" s="1503">
        <f>SUM('別紙様式2-2（４・５月分）'!P59:P61)</f>
        <v>0</v>
      </c>
      <c r="AY74" s="1587" t="str">
        <f>IFERROR(VLOOKUP(K74,【参考】数式用!$AJ$2:$AK$24,2,FALSE),"")</f>
        <v/>
      </c>
      <c r="AZ74" s="576"/>
      <c r="BE74" s="420"/>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4"/>
      <c r="AV75" s="1489"/>
      <c r="AW75" s="1514" t="str">
        <f>IF('別紙様式2-2（４・５月分）'!O60="","",'別紙様式2-2（４・５月分）'!O60)</f>
        <v/>
      </c>
      <c r="AX75" s="1503"/>
      <c r="AY75" s="1587"/>
      <c r="AZ75" s="513"/>
      <c r="BE75" s="420"/>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77" t="str">
        <f>IFERROR(IF(OR(N77="ベア加算",N77=""),"", IF(OR(U76="新加算Ⅰ",U76="新加算Ⅱ",U76="新加算Ⅲ",U76="新加算Ⅳ"),ROUNDDOWN(ROUND(L74*VLOOKUP(K74,【参考】数式用!$A$5:$I$27,MATCH("ベア加算",【参考】数式用!$B$4:$I$4,0)+1,0),0)*M74,0)*AG76,"")),"")</f>
        <v/>
      </c>
      <c r="AN76" s="1544"/>
      <c r="AO76" s="1550"/>
      <c r="AP76" s="1548"/>
      <c r="AQ76" s="1550"/>
      <c r="AR76" s="1552"/>
      <c r="AS76" s="1554"/>
      <c r="AT76" s="1528"/>
      <c r="AU76" s="534"/>
      <c r="AV76" s="1489" t="str">
        <f t="shared" ref="AV76" si="70">IF(OR(AB74&lt;&gt;7,AD74&lt;&gt;3),"V列に色付け","")</f>
        <v/>
      </c>
      <c r="AW76" s="1514"/>
      <c r="AX76" s="1503"/>
      <c r="AY76" s="661"/>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0"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78"/>
      <c r="AN77" s="1545"/>
      <c r="AO77" s="1551"/>
      <c r="AP77" s="1549"/>
      <c r="AQ77" s="1551"/>
      <c r="AR77" s="1553"/>
      <c r="AS77" s="1555"/>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9"/>
      <c r="AW77" s="642" t="str">
        <f>IF('別紙様式2-2（４・５月分）'!O61="","",'別紙様式2-2（４・５月分）'!O61)</f>
        <v/>
      </c>
      <c r="AX77" s="1503"/>
      <c r="AY77" s="663"/>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2247</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2161</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30"/>
      <c r="AW78" s="642" t="str">
        <f>IF('別紙様式2-2（４・５月分）'!O62="","",'別紙様式2-2（４・５月分）'!O62)</f>
        <v/>
      </c>
      <c r="AX78" s="1503">
        <f>SUM('別紙様式2-2（４・５月分）'!P62:P64)</f>
        <v>0</v>
      </c>
      <c r="AY78" s="1588" t="str">
        <f>IFERROR(VLOOKUP(K78,【参考】数式用!$AJ$2:$AK$24,2,FALSE),"")</f>
        <v/>
      </c>
      <c r="AZ78" s="576"/>
      <c r="BE78" s="420"/>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4"/>
      <c r="AV79" s="1489"/>
      <c r="AW79" s="1514" t="str">
        <f>IF('別紙様式2-2（４・５月分）'!O63="","",'別紙様式2-2（４・５月分）'!O63)</f>
        <v/>
      </c>
      <c r="AX79" s="1503"/>
      <c r="AY79" s="1587"/>
      <c r="AZ79" s="513"/>
      <c r="BE79" s="420"/>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2" t="str">
        <f>IFERROR(IF(OR(N81="ベア加算",N81=""),"", IF(OR(U80="新加算Ⅰ",U80="新加算Ⅱ",U80="新加算Ⅲ",U80="新加算Ⅳ"),ROUNDDOWN(ROUND(L78*VLOOKUP(K78,【参考】数式用!$A$5:$I$27,MATCH("ベア加算",【参考】数式用!$B$4:$I$4,0)+1,0),0)*M78,0)*AG80,"")),"")</f>
        <v/>
      </c>
      <c r="AN80" s="1544"/>
      <c r="AO80" s="1550"/>
      <c r="AP80" s="1548"/>
      <c r="AQ80" s="1550"/>
      <c r="AR80" s="1552"/>
      <c r="AS80" s="1554"/>
      <c r="AT80" s="1528"/>
      <c r="AU80" s="534"/>
      <c r="AV80" s="1489" t="str">
        <f t="shared" ref="AV80" si="75">IF(OR(AB78&lt;&gt;7,AD78&lt;&gt;3),"V列に色付け","")</f>
        <v/>
      </c>
      <c r="AW80" s="1514"/>
      <c r="AX80" s="1503"/>
      <c r="AY80" s="661"/>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0"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3"/>
      <c r="AN81" s="1545"/>
      <c r="AO81" s="1551"/>
      <c r="AP81" s="1549"/>
      <c r="AQ81" s="1551"/>
      <c r="AR81" s="1553"/>
      <c r="AS81" s="1555"/>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9"/>
      <c r="AW81" s="642" t="str">
        <f>IF('別紙様式2-2（４・５月分）'!O64="","",'別紙様式2-2（４・５月分）'!O64)</f>
        <v/>
      </c>
      <c r="AX81" s="1503"/>
      <c r="AY81" s="663"/>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2247</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2161</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84">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30"/>
      <c r="AW82" s="642" t="str">
        <f>IF('別紙様式2-2（４・５月分）'!O65="","",'別紙様式2-2（４・５月分）'!O65)</f>
        <v/>
      </c>
      <c r="AX82" s="1503">
        <f>SUM('別紙様式2-2（４・５月分）'!P65:P67)</f>
        <v>0</v>
      </c>
      <c r="AY82" s="1587" t="str">
        <f>IFERROR(VLOOKUP(K82,【参考】数式用!$AJ$2:$AK$24,2,FALSE),"")</f>
        <v/>
      </c>
      <c r="AZ82" s="576"/>
      <c r="BE82" s="420"/>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85"/>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4"/>
      <c r="AV83" s="1489"/>
      <c r="AW83" s="1514" t="str">
        <f>IF('別紙様式2-2（４・５月分）'!O66="","",'別紙様式2-2（４・５月分）'!O66)</f>
        <v/>
      </c>
      <c r="AX83" s="1503"/>
      <c r="AY83" s="1587"/>
      <c r="AZ83" s="513"/>
      <c r="BE83" s="420"/>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2" t="str">
        <f>IFERROR(IF(OR(N85="ベア加算",N85=""),"", IF(OR(U84="新加算Ⅰ",U84="新加算Ⅱ",U84="新加算Ⅲ",U84="新加算Ⅳ"),ROUNDDOWN(ROUND(L82*VLOOKUP(K82,【参考】数式用!$A$5:$I$27,MATCH("ベア加算",【参考】数式用!$B$4:$I$4,0)+1,0),0)*M82,0)*AG84,"")),"")</f>
        <v/>
      </c>
      <c r="AN84" s="1544"/>
      <c r="AO84" s="1550"/>
      <c r="AP84" s="1548"/>
      <c r="AQ84" s="1550"/>
      <c r="AR84" s="1552"/>
      <c r="AS84" s="1554"/>
      <c r="AT84" s="1528"/>
      <c r="AU84" s="534"/>
      <c r="AV84" s="1489" t="str">
        <f t="shared" ref="AV84" si="80">IF(OR(AB82&lt;&gt;7,AD82&lt;&gt;3),"V列に色付け","")</f>
        <v/>
      </c>
      <c r="AW84" s="1514"/>
      <c r="AX84" s="1503"/>
      <c r="AY84" s="661"/>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0"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3"/>
      <c r="AN85" s="1545"/>
      <c r="AO85" s="1551"/>
      <c r="AP85" s="1549"/>
      <c r="AQ85" s="1551"/>
      <c r="AR85" s="1553"/>
      <c r="AS85" s="1555"/>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9"/>
      <c r="AW85" s="642" t="str">
        <f>IF('別紙様式2-2（４・５月分）'!O67="","",'別紙様式2-2（４・５月分）'!O67)</f>
        <v/>
      </c>
      <c r="AX85" s="1503"/>
      <c r="AY85" s="663"/>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2247</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2161</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84">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30"/>
      <c r="AW86" s="642" t="str">
        <f>IF('別紙様式2-2（４・５月分）'!O68="","",'別紙様式2-2（４・５月分）'!O68)</f>
        <v/>
      </c>
      <c r="AX86" s="1503">
        <f>SUM('別紙様式2-2（４・５月分）'!P68:P70)</f>
        <v>0</v>
      </c>
      <c r="AY86" s="1588" t="str">
        <f>IFERROR(VLOOKUP(K86,【参考】数式用!$AJ$2:$AK$24,2,FALSE),"")</f>
        <v/>
      </c>
      <c r="AZ86" s="576"/>
      <c r="BE86" s="420"/>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85"/>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4"/>
      <c r="AV87" s="1489"/>
      <c r="AW87" s="1514" t="str">
        <f>IF('別紙様式2-2（４・５月分）'!O69="","",'別紙様式2-2（４・５月分）'!O69)</f>
        <v/>
      </c>
      <c r="AX87" s="1503"/>
      <c r="AY87" s="1587"/>
      <c r="AZ87" s="513"/>
      <c r="BE87" s="420"/>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2" t="str">
        <f>IFERROR(IF(OR(N89="ベア加算",N89=""),"", IF(OR(U88="新加算Ⅰ",U88="新加算Ⅱ",U88="新加算Ⅲ",U88="新加算Ⅳ"),ROUNDDOWN(ROUND(L86*VLOOKUP(K86,【参考】数式用!$A$5:$I$27,MATCH("ベア加算",【参考】数式用!$B$4:$I$4,0)+1,0),0)*M86,0)*AG88,"")),"")</f>
        <v/>
      </c>
      <c r="AN88" s="1544"/>
      <c r="AO88" s="1550"/>
      <c r="AP88" s="1548"/>
      <c r="AQ88" s="1550"/>
      <c r="AR88" s="1552"/>
      <c r="AS88" s="1554"/>
      <c r="AT88" s="1528"/>
      <c r="AU88" s="534"/>
      <c r="AV88" s="1489" t="str">
        <f t="shared" ref="AV88" si="85">IF(OR(AB86&lt;&gt;7,AD86&lt;&gt;3),"V列に色付け","")</f>
        <v/>
      </c>
      <c r="AW88" s="1514"/>
      <c r="AX88" s="1503"/>
      <c r="AY88" s="661"/>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0"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3"/>
      <c r="AN89" s="1545"/>
      <c r="AO89" s="1551"/>
      <c r="AP89" s="1549"/>
      <c r="AQ89" s="1551"/>
      <c r="AR89" s="1553"/>
      <c r="AS89" s="1555"/>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9"/>
      <c r="AW89" s="642" t="str">
        <f>IF('別紙様式2-2（４・５月分）'!O70="","",'別紙様式2-2（４・５月分）'!O70)</f>
        <v/>
      </c>
      <c r="AX89" s="1503"/>
      <c r="AY89" s="663"/>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2247</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2161</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84">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30"/>
      <c r="AW90" s="642" t="str">
        <f>IF('別紙様式2-2（４・５月分）'!O71="","",'別紙様式2-2（４・５月分）'!O71)</f>
        <v/>
      </c>
      <c r="AX90" s="1503">
        <f>SUM('別紙様式2-2（４・５月分）'!P71:P73)</f>
        <v>0</v>
      </c>
      <c r="AY90" s="1587" t="str">
        <f>IFERROR(VLOOKUP(K90,【参考】数式用!$AJ$2:$AK$24,2,FALSE),"")</f>
        <v/>
      </c>
      <c r="AZ90" s="576"/>
      <c r="BE90" s="420"/>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85"/>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4"/>
      <c r="AV91" s="1489"/>
      <c r="AW91" s="1514" t="str">
        <f>IF('別紙様式2-2（４・５月分）'!O72="","",'別紙様式2-2（４・５月分）'!O72)</f>
        <v/>
      </c>
      <c r="AX91" s="1503"/>
      <c r="AY91" s="1587"/>
      <c r="AZ91" s="513"/>
      <c r="BE91" s="420"/>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2" t="str">
        <f>IFERROR(IF(OR(N93="ベア加算",N93=""),"", IF(OR(U92="新加算Ⅰ",U92="新加算Ⅱ",U92="新加算Ⅲ",U92="新加算Ⅳ"),ROUNDDOWN(ROUND(L90*VLOOKUP(K90,【参考】数式用!$A$5:$I$27,MATCH("ベア加算",【参考】数式用!$B$4:$I$4,0)+1,0),0)*M90,0)*AG92,"")),"")</f>
        <v/>
      </c>
      <c r="AN92" s="1544"/>
      <c r="AO92" s="1550"/>
      <c r="AP92" s="1548"/>
      <c r="AQ92" s="1550"/>
      <c r="AR92" s="1552"/>
      <c r="AS92" s="1554"/>
      <c r="AT92" s="1528"/>
      <c r="AU92" s="534"/>
      <c r="AV92" s="1489" t="str">
        <f t="shared" ref="AV92" si="90">IF(OR(AB90&lt;&gt;7,AD90&lt;&gt;3),"V列に色付け","")</f>
        <v/>
      </c>
      <c r="AW92" s="1514"/>
      <c r="AX92" s="1503"/>
      <c r="AY92" s="661"/>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0"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3"/>
      <c r="AN93" s="1545"/>
      <c r="AO93" s="1551"/>
      <c r="AP93" s="1549"/>
      <c r="AQ93" s="1551"/>
      <c r="AR93" s="1553"/>
      <c r="AS93" s="1555"/>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9"/>
      <c r="AW93" s="642" t="str">
        <f>IF('別紙様式2-2（４・５月分）'!O73="","",'別紙様式2-2（４・５月分）'!O73)</f>
        <v/>
      </c>
      <c r="AX93" s="1503"/>
      <c r="AY93" s="663"/>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2247</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2161</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84">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30"/>
      <c r="AW94" s="642" t="str">
        <f>IF('別紙様式2-2（４・５月分）'!O74="","",'別紙様式2-2（４・５月分）'!O74)</f>
        <v/>
      </c>
      <c r="AX94" s="1503">
        <f>SUM('別紙様式2-2（４・５月分）'!P74:P76)</f>
        <v>0</v>
      </c>
      <c r="AY94" s="1588" t="str">
        <f>IFERROR(VLOOKUP(K94,【参考】数式用!$AJ$2:$AK$24,2,FALSE),"")</f>
        <v/>
      </c>
      <c r="AZ94" s="576"/>
      <c r="BE94" s="420"/>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85"/>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4"/>
      <c r="AV95" s="1489"/>
      <c r="AW95" s="1514" t="str">
        <f>IF('別紙様式2-2（４・５月分）'!O75="","",'別紙様式2-2（４・５月分）'!O75)</f>
        <v/>
      </c>
      <c r="AX95" s="1503"/>
      <c r="AY95" s="1587"/>
      <c r="AZ95" s="513"/>
      <c r="BE95" s="420"/>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2" t="str">
        <f>IFERROR(IF(OR(N97="ベア加算",N97=""),"", IF(OR(U96="新加算Ⅰ",U96="新加算Ⅱ",U96="新加算Ⅲ",U96="新加算Ⅳ"),ROUNDDOWN(ROUND(L94*VLOOKUP(K94,【参考】数式用!$A$5:$I$27,MATCH("ベア加算",【参考】数式用!$B$4:$I$4,0)+1,0),0)*M94,0)*AG96,"")),"")</f>
        <v/>
      </c>
      <c r="AN96" s="1544"/>
      <c r="AO96" s="1550"/>
      <c r="AP96" s="1548"/>
      <c r="AQ96" s="1550"/>
      <c r="AR96" s="1552"/>
      <c r="AS96" s="1554"/>
      <c r="AT96" s="1528"/>
      <c r="AU96" s="534"/>
      <c r="AV96" s="1489" t="str">
        <f t="shared" ref="AV96" si="95">IF(OR(AB94&lt;&gt;7,AD94&lt;&gt;3),"V列に色付け","")</f>
        <v/>
      </c>
      <c r="AW96" s="1514"/>
      <c r="AX96" s="1503"/>
      <c r="AY96" s="661"/>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0"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3"/>
      <c r="AN97" s="1545"/>
      <c r="AO97" s="1551"/>
      <c r="AP97" s="1549"/>
      <c r="AQ97" s="1551"/>
      <c r="AR97" s="1553"/>
      <c r="AS97" s="1555"/>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9"/>
      <c r="AW97" s="642" t="str">
        <f>IF('別紙様式2-2（４・５月分）'!O76="","",'別紙様式2-2（４・５月分）'!O76)</f>
        <v/>
      </c>
      <c r="AX97" s="1503"/>
      <c r="AY97" s="663"/>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2247</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2161</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84">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30"/>
      <c r="AW98" s="642" t="str">
        <f>IF('別紙様式2-2（４・５月分）'!O77="","",'別紙様式2-2（４・５月分）'!O77)</f>
        <v/>
      </c>
      <c r="AX98" s="1503">
        <f>SUM('別紙様式2-2（４・５月分）'!P77:P79)</f>
        <v>0</v>
      </c>
      <c r="AY98" s="1587" t="str">
        <f>IFERROR(VLOOKUP(K98,【参考】数式用!$AJ$2:$AK$24,2,FALSE),"")</f>
        <v/>
      </c>
      <c r="AZ98" s="576"/>
      <c r="BE98" s="420"/>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85"/>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4"/>
      <c r="AV99" s="1489"/>
      <c r="AW99" s="1514" t="str">
        <f>IF('別紙様式2-2（４・５月分）'!O78="","",'別紙様式2-2（４・５月分）'!O78)</f>
        <v/>
      </c>
      <c r="AX99" s="1503"/>
      <c r="AY99" s="1587"/>
      <c r="AZ99" s="513"/>
      <c r="BE99" s="420"/>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2" t="str">
        <f>IFERROR(IF(OR(N101="ベア加算",N101=""),"",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4"/>
      <c r="AV100" s="1489" t="str">
        <f t="shared" ref="AV100" si="100">IF(OR(AB98&lt;&gt;7,AD98&lt;&gt;3),"V列に色付け","")</f>
        <v/>
      </c>
      <c r="AW100" s="1514"/>
      <c r="AX100" s="1503"/>
      <c r="AY100" s="661"/>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0"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3"/>
      <c r="AN101" s="1545"/>
      <c r="AO101" s="1551"/>
      <c r="AP101" s="1549"/>
      <c r="AQ101" s="1551"/>
      <c r="AR101" s="1553"/>
      <c r="AS101" s="1555"/>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9"/>
      <c r="AW101" s="642" t="str">
        <f>IF('別紙様式2-2（４・５月分）'!O79="","",'別紙様式2-2（４・５月分）'!O79)</f>
        <v/>
      </c>
      <c r="AX101" s="1503"/>
      <c r="AY101" s="663"/>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2247</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2161</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84">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30"/>
      <c r="AW102" s="642" t="str">
        <f>IF('別紙様式2-2（４・５月分）'!O80="","",'別紙様式2-2（４・５月分）'!O80)</f>
        <v/>
      </c>
      <c r="AX102" s="1503">
        <f>SUM('別紙様式2-2（４・５月分）'!P80:P82)</f>
        <v>0</v>
      </c>
      <c r="AY102" s="1588" t="str">
        <f>IFERROR(VLOOKUP(K102,【参考】数式用!$AJ$2:$AK$24,2,FALSE),"")</f>
        <v/>
      </c>
      <c r="AZ102" s="576"/>
      <c r="BE102" s="420"/>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85"/>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4"/>
      <c r="AV103" s="1489"/>
      <c r="AW103" s="1514" t="str">
        <f>IF('別紙様式2-2（４・５月分）'!O81="","",'別紙様式2-2（４・５月分）'!O81)</f>
        <v/>
      </c>
      <c r="AX103" s="1503"/>
      <c r="AY103" s="1587"/>
      <c r="AZ103" s="513"/>
      <c r="BE103" s="420"/>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2" t="str">
        <f>IFERROR(IF(OR(N105="ベア加算",N105=""),"",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4"/>
      <c r="AV104" s="1489" t="str">
        <f t="shared" ref="AV104" si="105">IF(OR(AB102&lt;&gt;7,AD102&lt;&gt;3),"V列に色付け","")</f>
        <v/>
      </c>
      <c r="AW104" s="1514"/>
      <c r="AX104" s="1503"/>
      <c r="AY104" s="661"/>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0"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3"/>
      <c r="AN105" s="1545"/>
      <c r="AO105" s="1551"/>
      <c r="AP105" s="1549"/>
      <c r="AQ105" s="1551"/>
      <c r="AR105" s="1553"/>
      <c r="AS105" s="1555"/>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9"/>
      <c r="AW105" s="642" t="str">
        <f>IF('別紙様式2-2（４・５月分）'!O82="","",'別紙様式2-2（４・５月分）'!O82)</f>
        <v/>
      </c>
      <c r="AX105" s="1503"/>
      <c r="AY105" s="663"/>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2247</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2161</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84">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30"/>
      <c r="AW106" s="642" t="str">
        <f>IF('別紙様式2-2（４・５月分）'!O83="","",'別紙様式2-2（４・５月分）'!O83)</f>
        <v/>
      </c>
      <c r="AX106" s="1503">
        <f>SUM('別紙様式2-2（４・５月分）'!P83:P85)</f>
        <v>0</v>
      </c>
      <c r="AY106" s="1587" t="str">
        <f>IFERROR(VLOOKUP(K106,【参考】数式用!$AJ$2:$AK$24,2,FALSE),"")</f>
        <v/>
      </c>
      <c r="AZ106" s="576"/>
      <c r="BE106" s="420"/>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85"/>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4"/>
      <c r="AV107" s="1489"/>
      <c r="AW107" s="1514" t="str">
        <f>IF('別紙様式2-2（４・５月分）'!O84="","",'別紙様式2-2（４・５月分）'!O84)</f>
        <v/>
      </c>
      <c r="AX107" s="1503"/>
      <c r="AY107" s="1587"/>
      <c r="AZ107" s="513"/>
      <c r="BE107" s="420"/>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2" t="str">
        <f>IFERROR(IF(OR(N109="ベア加算",N109=""),"",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4"/>
      <c r="AV108" s="1489" t="str">
        <f t="shared" ref="AV108" si="110">IF(OR(AB106&lt;&gt;7,AD106&lt;&gt;3),"V列に色付け","")</f>
        <v/>
      </c>
      <c r="AW108" s="1514"/>
      <c r="AX108" s="1503"/>
      <c r="AY108" s="661"/>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0"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3"/>
      <c r="AN109" s="1545"/>
      <c r="AO109" s="1551"/>
      <c r="AP109" s="1549"/>
      <c r="AQ109" s="1551"/>
      <c r="AR109" s="1553"/>
      <c r="AS109" s="1555"/>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9"/>
      <c r="AW109" s="642" t="str">
        <f>IF('別紙様式2-2（４・５月分）'!O85="","",'別紙様式2-2（４・５月分）'!O85)</f>
        <v/>
      </c>
      <c r="AX109" s="1503"/>
      <c r="AY109" s="663"/>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2247</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2161</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84">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30"/>
      <c r="AW110" s="642" t="str">
        <f>IF('別紙様式2-2（４・５月分）'!O86="","",'別紙様式2-2（４・５月分）'!O86)</f>
        <v/>
      </c>
      <c r="AX110" s="1503">
        <f>SUM('別紙様式2-2（４・５月分）'!P86:P88)</f>
        <v>0</v>
      </c>
      <c r="AY110" s="1588" t="str">
        <f>IFERROR(VLOOKUP(K110,【参考】数式用!$AJ$2:$AK$24,2,FALSE),"")</f>
        <v/>
      </c>
      <c r="AZ110" s="576"/>
      <c r="BE110" s="420"/>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85"/>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4"/>
      <c r="AV111" s="1489"/>
      <c r="AW111" s="1514" t="str">
        <f>IF('別紙様式2-2（４・５月分）'!O87="","",'別紙様式2-2（４・５月分）'!O87)</f>
        <v/>
      </c>
      <c r="AX111" s="1503"/>
      <c r="AY111" s="1587"/>
      <c r="AZ111" s="513"/>
      <c r="BE111" s="420"/>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2" t="str">
        <f>IFERROR(IF(OR(N113="ベア加算",N113=""),"",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4"/>
      <c r="AV112" s="1489" t="str">
        <f t="shared" ref="AV112" si="115">IF(OR(AB110&lt;&gt;7,AD110&lt;&gt;3),"V列に色付け","")</f>
        <v/>
      </c>
      <c r="AW112" s="1514"/>
      <c r="AX112" s="1503"/>
      <c r="AY112" s="661"/>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0"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3"/>
      <c r="AN113" s="1545"/>
      <c r="AO113" s="1551"/>
      <c r="AP113" s="1549"/>
      <c r="AQ113" s="1551"/>
      <c r="AR113" s="1553"/>
      <c r="AS113" s="1555"/>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9"/>
      <c r="AW113" s="642" t="str">
        <f>IF('別紙様式2-2（４・５月分）'!O88="","",'別紙様式2-2（４・５月分）'!O88)</f>
        <v/>
      </c>
      <c r="AX113" s="1503"/>
      <c r="AY113" s="663"/>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2247</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2161</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84">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30"/>
      <c r="AW114" s="642" t="str">
        <f>IF('別紙様式2-2（４・５月分）'!O89="","",'別紙様式2-2（４・５月分）'!O89)</f>
        <v/>
      </c>
      <c r="AX114" s="1503">
        <f>SUM('別紙様式2-2（４・５月分）'!P89:P91)</f>
        <v>0</v>
      </c>
      <c r="AY114" s="1587" t="str">
        <f>IFERROR(VLOOKUP(K114,【参考】数式用!$AJ$2:$AK$24,2,FALSE),"")</f>
        <v/>
      </c>
      <c r="AZ114" s="576"/>
      <c r="BE114" s="420"/>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85"/>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4"/>
      <c r="AV115" s="1489"/>
      <c r="AW115" s="1514" t="str">
        <f>IF('別紙様式2-2（４・５月分）'!O90="","",'別紙様式2-2（４・５月分）'!O90)</f>
        <v/>
      </c>
      <c r="AX115" s="1503"/>
      <c r="AY115" s="1587"/>
      <c r="AZ115" s="513"/>
      <c r="BE115" s="420"/>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2" t="str">
        <f>IFERROR(IF(OR(N117="ベア加算",N117=""),"",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4"/>
      <c r="AV116" s="1489" t="str">
        <f t="shared" ref="AV116" si="120">IF(OR(AB114&lt;&gt;7,AD114&lt;&gt;3),"V列に色付け","")</f>
        <v/>
      </c>
      <c r="AW116" s="1514"/>
      <c r="AX116" s="1503"/>
      <c r="AY116" s="661"/>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0"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3"/>
      <c r="AN117" s="1545"/>
      <c r="AO117" s="1551"/>
      <c r="AP117" s="1549"/>
      <c r="AQ117" s="1551"/>
      <c r="AR117" s="1553"/>
      <c r="AS117" s="1555"/>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9"/>
      <c r="AW117" s="642" t="str">
        <f>IF('別紙様式2-2（４・５月分）'!O91="","",'別紙様式2-2（４・５月分）'!O91)</f>
        <v/>
      </c>
      <c r="AX117" s="1503"/>
      <c r="AY117" s="663"/>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2247</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2161</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84">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30"/>
      <c r="AW118" s="642" t="str">
        <f>IF('別紙様式2-2（４・５月分）'!O92="","",'別紙様式2-2（４・５月分）'!O92)</f>
        <v/>
      </c>
      <c r="AX118" s="1503">
        <f>SUM('別紙様式2-2（４・５月分）'!P92:P94)</f>
        <v>0</v>
      </c>
      <c r="AY118" s="1588" t="str">
        <f>IFERROR(VLOOKUP(K118,【参考】数式用!$AJ$2:$AK$24,2,FALSE),"")</f>
        <v/>
      </c>
      <c r="AZ118" s="576"/>
      <c r="BE118" s="420"/>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85"/>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4"/>
      <c r="AV119" s="1489"/>
      <c r="AW119" s="1514" t="str">
        <f>IF('別紙様式2-2（４・５月分）'!O93="","",'別紙様式2-2（４・５月分）'!O93)</f>
        <v/>
      </c>
      <c r="AX119" s="1503"/>
      <c r="AY119" s="1587"/>
      <c r="AZ119" s="513"/>
      <c r="BE119" s="420"/>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2" t="str">
        <f>IFERROR(IF(OR(N121="ベア加算",N121=""),"",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4"/>
      <c r="AV120" s="1489" t="str">
        <f t="shared" ref="AV120" si="125">IF(OR(AB118&lt;&gt;7,AD118&lt;&gt;3),"V列に色付け","")</f>
        <v/>
      </c>
      <c r="AW120" s="1514"/>
      <c r="AX120" s="1503"/>
      <c r="AY120" s="661"/>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0"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3"/>
      <c r="AN121" s="1545"/>
      <c r="AO121" s="1551"/>
      <c r="AP121" s="1549"/>
      <c r="AQ121" s="1551"/>
      <c r="AR121" s="1553"/>
      <c r="AS121" s="1555"/>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9"/>
      <c r="AW121" s="642" t="str">
        <f>IF('別紙様式2-2（４・５月分）'!O94="","",'別紙様式2-2（４・５月分）'!O94)</f>
        <v/>
      </c>
      <c r="AX121" s="1503"/>
      <c r="AY121" s="663"/>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2247</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2161</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84">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30"/>
      <c r="AW122" s="642" t="str">
        <f>IF('別紙様式2-2（４・５月分）'!O95="","",'別紙様式2-2（４・５月分）'!O95)</f>
        <v/>
      </c>
      <c r="AX122" s="1503">
        <f>SUM('別紙様式2-2（４・５月分）'!P95:P97)</f>
        <v>0</v>
      </c>
      <c r="AY122" s="1587" t="str">
        <f>IFERROR(VLOOKUP(K122,【参考】数式用!$AJ$2:$AK$24,2,FALSE),"")</f>
        <v/>
      </c>
      <c r="AZ122" s="576"/>
      <c r="BE122" s="420"/>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85"/>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4"/>
      <c r="AV123" s="1489"/>
      <c r="AW123" s="1514" t="str">
        <f>IF('別紙様式2-2（４・５月分）'!O96="","",'別紙様式2-2（４・５月分）'!O96)</f>
        <v/>
      </c>
      <c r="AX123" s="1503"/>
      <c r="AY123" s="1587"/>
      <c r="AZ123" s="513"/>
      <c r="BE123" s="420"/>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2" t="str">
        <f>IFERROR(IF(OR(N125="ベア加算",N125=""),"",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4"/>
      <c r="AV124" s="1489" t="str">
        <f t="shared" ref="AV124" si="130">IF(OR(AB122&lt;&gt;7,AD122&lt;&gt;3),"V列に色付け","")</f>
        <v/>
      </c>
      <c r="AW124" s="1514"/>
      <c r="AX124" s="1503"/>
      <c r="AY124" s="661"/>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0"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3"/>
      <c r="AN125" s="1545"/>
      <c r="AO125" s="1551"/>
      <c r="AP125" s="1549"/>
      <c r="AQ125" s="1551"/>
      <c r="AR125" s="1553"/>
      <c r="AS125" s="1555"/>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9"/>
      <c r="AW125" s="642" t="str">
        <f>IF('別紙様式2-2（４・５月分）'!O97="","",'別紙様式2-2（４・５月分）'!O97)</f>
        <v/>
      </c>
      <c r="AX125" s="1503"/>
      <c r="AY125" s="663"/>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2247</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2161</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84">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30"/>
      <c r="AW126" s="642" t="str">
        <f>IF('別紙様式2-2（４・５月分）'!O98="","",'別紙様式2-2（４・５月分）'!O98)</f>
        <v/>
      </c>
      <c r="AX126" s="1503">
        <f>SUM('別紙様式2-2（４・５月分）'!P98:P100)</f>
        <v>0</v>
      </c>
      <c r="AY126" s="1588" t="str">
        <f>IFERROR(VLOOKUP(K126,【参考】数式用!$AJ$2:$AK$24,2,FALSE),"")</f>
        <v/>
      </c>
      <c r="AZ126" s="576"/>
      <c r="BE126" s="420"/>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85"/>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4"/>
      <c r="AV127" s="1489"/>
      <c r="AW127" s="1514" t="str">
        <f>IF('別紙様式2-2（４・５月分）'!O99="","",'別紙様式2-2（４・５月分）'!O99)</f>
        <v/>
      </c>
      <c r="AX127" s="1503"/>
      <c r="AY127" s="1587"/>
      <c r="AZ127" s="513"/>
      <c r="BE127" s="420"/>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2" t="str">
        <f>IFERROR(IF(OR(N129="ベア加算",N129=""),"",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4"/>
      <c r="AV128" s="1489" t="str">
        <f t="shared" ref="AV128" si="135">IF(OR(AB126&lt;&gt;7,AD126&lt;&gt;3),"V列に色付け","")</f>
        <v/>
      </c>
      <c r="AW128" s="1514"/>
      <c r="AX128" s="1503"/>
      <c r="AY128" s="661"/>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0"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3"/>
      <c r="AN129" s="1545"/>
      <c r="AO129" s="1551"/>
      <c r="AP129" s="1549"/>
      <c r="AQ129" s="1551"/>
      <c r="AR129" s="1553"/>
      <c r="AS129" s="1555"/>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9"/>
      <c r="AW129" s="642" t="str">
        <f>IF('別紙様式2-2（４・５月分）'!O100="","",'別紙様式2-2（４・５月分）'!O100)</f>
        <v/>
      </c>
      <c r="AX129" s="1503"/>
      <c r="AY129" s="663"/>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2247</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2161</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84">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30"/>
      <c r="AW130" s="642" t="str">
        <f>IF('別紙様式2-2（４・５月分）'!O101="","",'別紙様式2-2（４・５月分）'!O101)</f>
        <v/>
      </c>
      <c r="AX130" s="1503">
        <f>SUM('別紙様式2-2（４・５月分）'!P101:P103)</f>
        <v>0</v>
      </c>
      <c r="AY130" s="1587" t="str">
        <f>IFERROR(VLOOKUP(K130,【参考】数式用!$AJ$2:$AK$24,2,FALSE),"")</f>
        <v/>
      </c>
      <c r="AZ130" s="576"/>
      <c r="BE130" s="420"/>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85"/>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4"/>
      <c r="AV131" s="1489"/>
      <c r="AW131" s="1514" t="str">
        <f>IF('別紙様式2-2（４・５月分）'!O102="","",'別紙様式2-2（４・５月分）'!O102)</f>
        <v/>
      </c>
      <c r="AX131" s="1503"/>
      <c r="AY131" s="1587"/>
      <c r="AZ131" s="513"/>
      <c r="BE131" s="420"/>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2" t="str">
        <f>IFERROR(IF(OR(N133="ベア加算",N133=""),"",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4"/>
      <c r="AV132" s="1489" t="str">
        <f t="shared" ref="AV132" si="140">IF(OR(AB130&lt;&gt;7,AD130&lt;&gt;3),"V列に色付け","")</f>
        <v/>
      </c>
      <c r="AW132" s="1514"/>
      <c r="AX132" s="1503"/>
      <c r="AY132" s="661"/>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0"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3"/>
      <c r="AN133" s="1545"/>
      <c r="AO133" s="1551"/>
      <c r="AP133" s="1549"/>
      <c r="AQ133" s="1551"/>
      <c r="AR133" s="1553"/>
      <c r="AS133" s="1555"/>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9"/>
      <c r="AW133" s="642" t="str">
        <f>IF('別紙様式2-2（４・５月分）'!O103="","",'別紙様式2-2（４・５月分）'!O103)</f>
        <v/>
      </c>
      <c r="AX133" s="1503"/>
      <c r="AY133" s="663"/>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2247</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2161</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84">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30"/>
      <c r="AW134" s="642" t="str">
        <f>IF('別紙様式2-2（４・５月分）'!O104="","",'別紙様式2-2（４・５月分）'!O104)</f>
        <v/>
      </c>
      <c r="AX134" s="1503">
        <f>SUM('別紙様式2-2（４・５月分）'!P104:P106)</f>
        <v>0</v>
      </c>
      <c r="AY134" s="1588" t="str">
        <f>IFERROR(VLOOKUP(K134,【参考】数式用!$AJ$2:$AK$24,2,FALSE),"")</f>
        <v/>
      </c>
      <c r="AZ134" s="576"/>
      <c r="BE134" s="420"/>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85"/>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4"/>
      <c r="AV135" s="1489"/>
      <c r="AW135" s="1514" t="str">
        <f>IF('別紙様式2-2（４・５月分）'!O105="","",'別紙様式2-2（４・５月分）'!O105)</f>
        <v/>
      </c>
      <c r="AX135" s="1503"/>
      <c r="AY135" s="1587"/>
      <c r="AZ135" s="513"/>
      <c r="BE135" s="420"/>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2" t="str">
        <f>IFERROR(IF(OR(N137="ベア加算",N137=""),"",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4"/>
      <c r="AV136" s="1489" t="str">
        <f t="shared" ref="AV136" si="145">IF(OR(AB134&lt;&gt;7,AD134&lt;&gt;3),"V列に色付け","")</f>
        <v/>
      </c>
      <c r="AW136" s="1514"/>
      <c r="AX136" s="1503"/>
      <c r="AY136" s="661"/>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0"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3"/>
      <c r="AN137" s="1545"/>
      <c r="AO137" s="1551"/>
      <c r="AP137" s="1549"/>
      <c r="AQ137" s="1551"/>
      <c r="AR137" s="1553"/>
      <c r="AS137" s="1555"/>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9"/>
      <c r="AW137" s="642" t="str">
        <f>IF('別紙様式2-2（４・５月分）'!O106="","",'別紙様式2-2（４・５月分）'!O106)</f>
        <v/>
      </c>
      <c r="AX137" s="1503"/>
      <c r="AY137" s="663"/>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2247</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2161</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84">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30"/>
      <c r="AW138" s="642" t="str">
        <f>IF('別紙様式2-2（４・５月分）'!O107="","",'別紙様式2-2（４・５月分）'!O107)</f>
        <v/>
      </c>
      <c r="AX138" s="1503">
        <f>SUM('別紙様式2-2（４・５月分）'!P107:P109)</f>
        <v>0</v>
      </c>
      <c r="AY138" s="1587" t="str">
        <f>IFERROR(VLOOKUP(K138,【参考】数式用!$AJ$2:$AK$24,2,FALSE),"")</f>
        <v/>
      </c>
      <c r="AZ138" s="576"/>
      <c r="BE138" s="420"/>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85"/>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4"/>
      <c r="AV139" s="1489"/>
      <c r="AW139" s="1514" t="str">
        <f>IF('別紙様式2-2（４・５月分）'!O108="","",'別紙様式2-2（４・５月分）'!O108)</f>
        <v/>
      </c>
      <c r="AX139" s="1503"/>
      <c r="AY139" s="1587"/>
      <c r="AZ139" s="513"/>
      <c r="BE139" s="420"/>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2" t="str">
        <f>IFERROR(IF(OR(N141="ベア加算",N141=""),"",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4"/>
      <c r="AV140" s="1489" t="str">
        <f t="shared" ref="AV140" si="150">IF(OR(AB138&lt;&gt;7,AD138&lt;&gt;3),"V列に色付け","")</f>
        <v/>
      </c>
      <c r="AW140" s="1514"/>
      <c r="AX140" s="1503"/>
      <c r="AY140" s="661"/>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0"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3"/>
      <c r="AN141" s="1545"/>
      <c r="AO141" s="1551"/>
      <c r="AP141" s="1549"/>
      <c r="AQ141" s="1551"/>
      <c r="AR141" s="1553"/>
      <c r="AS141" s="1555"/>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9"/>
      <c r="AW141" s="642" t="str">
        <f>IF('別紙様式2-2（４・５月分）'!O109="","",'別紙様式2-2（４・５月分）'!O109)</f>
        <v/>
      </c>
      <c r="AX141" s="1503"/>
      <c r="AY141" s="663"/>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2247</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2161</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84">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30"/>
      <c r="AW142" s="642" t="str">
        <f>IF('別紙様式2-2（４・５月分）'!O110="","",'別紙様式2-2（４・５月分）'!O110)</f>
        <v/>
      </c>
      <c r="AX142" s="1503">
        <f>SUM('別紙様式2-2（４・５月分）'!P110:P112)</f>
        <v>0</v>
      </c>
      <c r="AY142" s="1588" t="str">
        <f>IFERROR(VLOOKUP(K142,【参考】数式用!$AJ$2:$AK$24,2,FALSE),"")</f>
        <v/>
      </c>
      <c r="AZ142" s="576"/>
      <c r="BE142" s="420"/>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85"/>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4"/>
      <c r="AV143" s="1489"/>
      <c r="AW143" s="1514" t="str">
        <f>IF('別紙様式2-2（４・５月分）'!O111="","",'別紙様式2-2（４・５月分）'!O111)</f>
        <v/>
      </c>
      <c r="AX143" s="1503"/>
      <c r="AY143" s="1587"/>
      <c r="AZ143" s="513"/>
      <c r="BE143" s="420"/>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2" t="str">
        <f>IFERROR(IF(OR(N145="ベア加算",N145=""),"",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4"/>
      <c r="AV144" s="1489" t="str">
        <f t="shared" ref="AV144" si="155">IF(OR(AB142&lt;&gt;7,AD142&lt;&gt;3),"V列に色付け","")</f>
        <v/>
      </c>
      <c r="AW144" s="1514"/>
      <c r="AX144" s="1503"/>
      <c r="AY144" s="661"/>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0"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3"/>
      <c r="AN145" s="1545"/>
      <c r="AO145" s="1551"/>
      <c r="AP145" s="1549"/>
      <c r="AQ145" s="1551"/>
      <c r="AR145" s="1553"/>
      <c r="AS145" s="1555"/>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9"/>
      <c r="AW145" s="642" t="str">
        <f>IF('別紙様式2-2（４・５月分）'!O112="","",'別紙様式2-2（４・５月分）'!O112)</f>
        <v/>
      </c>
      <c r="AX145" s="1503"/>
      <c r="AY145" s="663"/>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2247</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2161</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84">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30"/>
      <c r="AW146" s="642" t="str">
        <f>IF('別紙様式2-2（４・５月分）'!O113="","",'別紙様式2-2（４・５月分）'!O113)</f>
        <v/>
      </c>
      <c r="AX146" s="1503">
        <f>SUM('別紙様式2-2（４・５月分）'!P113:P115)</f>
        <v>0</v>
      </c>
      <c r="AY146" s="1587" t="str">
        <f>IFERROR(VLOOKUP(K146,【参考】数式用!$AJ$2:$AK$24,2,FALSE),"")</f>
        <v/>
      </c>
      <c r="AZ146" s="576"/>
      <c r="BE146" s="420"/>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85"/>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4"/>
      <c r="AV147" s="1489"/>
      <c r="AW147" s="1514" t="str">
        <f>IF('別紙様式2-2（４・５月分）'!O114="","",'別紙様式2-2（４・５月分）'!O114)</f>
        <v/>
      </c>
      <c r="AX147" s="1503"/>
      <c r="AY147" s="1587"/>
      <c r="AZ147" s="513"/>
      <c r="BE147" s="420"/>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2" t="str">
        <f>IFERROR(IF(OR(N149="ベア加算",N149=""),"",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4"/>
      <c r="AV148" s="1489" t="str">
        <f t="shared" ref="AV148" si="160">IF(OR(AB146&lt;&gt;7,AD146&lt;&gt;3),"V列に色付け","")</f>
        <v/>
      </c>
      <c r="AW148" s="1514"/>
      <c r="AX148" s="1503"/>
      <c r="AY148" s="661"/>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0"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3"/>
      <c r="AN149" s="1545"/>
      <c r="AO149" s="1551"/>
      <c r="AP149" s="1549"/>
      <c r="AQ149" s="1551"/>
      <c r="AR149" s="1553"/>
      <c r="AS149" s="1555"/>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9"/>
      <c r="AW149" s="642" t="str">
        <f>IF('別紙様式2-2（４・５月分）'!O115="","",'別紙様式2-2（４・５月分）'!O115)</f>
        <v/>
      </c>
      <c r="AX149" s="1503"/>
      <c r="AY149" s="663"/>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2247</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2161</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84">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30"/>
      <c r="AW150" s="642" t="str">
        <f>IF('別紙様式2-2（４・５月分）'!O116="","",'別紙様式2-2（４・５月分）'!O116)</f>
        <v/>
      </c>
      <c r="AX150" s="1503">
        <f>SUM('別紙様式2-2（４・５月分）'!P116:P118)</f>
        <v>0</v>
      </c>
      <c r="AY150" s="1588" t="str">
        <f>IFERROR(VLOOKUP(K150,【参考】数式用!$AJ$2:$AK$24,2,FALSE),"")</f>
        <v/>
      </c>
      <c r="AZ150" s="576"/>
      <c r="BE150" s="420"/>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85"/>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4"/>
      <c r="AV151" s="1489"/>
      <c r="AW151" s="1514" t="str">
        <f>IF('別紙様式2-2（４・５月分）'!O117="","",'別紙様式2-2（４・５月分）'!O117)</f>
        <v/>
      </c>
      <c r="AX151" s="1503"/>
      <c r="AY151" s="1587"/>
      <c r="AZ151" s="513"/>
      <c r="BE151" s="420"/>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2" t="str">
        <f>IFERROR(IF(OR(N153="ベア加算",N153=""),"",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4"/>
      <c r="AV152" s="1489" t="str">
        <f t="shared" ref="AV152" si="165">IF(OR(AB150&lt;&gt;7,AD150&lt;&gt;3),"V列に色付け","")</f>
        <v/>
      </c>
      <c r="AW152" s="1514"/>
      <c r="AX152" s="1503"/>
      <c r="AY152" s="661"/>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0"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3"/>
      <c r="AN153" s="1545"/>
      <c r="AO153" s="1551"/>
      <c r="AP153" s="1549"/>
      <c r="AQ153" s="1551"/>
      <c r="AR153" s="1553"/>
      <c r="AS153" s="1555"/>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9"/>
      <c r="AW153" s="642" t="str">
        <f>IF('別紙様式2-2（４・５月分）'!O118="","",'別紙様式2-2（４・５月分）'!O118)</f>
        <v/>
      </c>
      <c r="AX153" s="1503"/>
      <c r="AY153" s="663"/>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2247</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2161</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84">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30"/>
      <c r="AW154" s="642" t="str">
        <f>IF('別紙様式2-2（４・５月分）'!O119="","",'別紙様式2-2（４・５月分）'!O119)</f>
        <v/>
      </c>
      <c r="AX154" s="1503">
        <f>SUM('別紙様式2-2（４・５月分）'!P119:P121)</f>
        <v>0</v>
      </c>
      <c r="AY154" s="1587" t="str">
        <f>IFERROR(VLOOKUP(K154,【参考】数式用!$AJ$2:$AK$24,2,FALSE),"")</f>
        <v/>
      </c>
      <c r="AZ154" s="576"/>
      <c r="BE154" s="420"/>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85"/>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4"/>
      <c r="AV155" s="1489"/>
      <c r="AW155" s="1514" t="str">
        <f>IF('別紙様式2-2（４・５月分）'!O120="","",'別紙様式2-2（４・５月分）'!O120)</f>
        <v/>
      </c>
      <c r="AX155" s="1503"/>
      <c r="AY155" s="1587"/>
      <c r="AZ155" s="513"/>
      <c r="BE155" s="420"/>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2" t="str">
        <f>IFERROR(IF(OR(N157="ベア加算",N157=""),"",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4"/>
      <c r="AV156" s="1489" t="str">
        <f t="shared" ref="AV156" si="170">IF(OR(AB154&lt;&gt;7,AD154&lt;&gt;3),"V列に色付け","")</f>
        <v/>
      </c>
      <c r="AW156" s="1514"/>
      <c r="AX156" s="1503"/>
      <c r="AY156" s="661"/>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0"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3"/>
      <c r="AN157" s="1545"/>
      <c r="AO157" s="1551"/>
      <c r="AP157" s="1549"/>
      <c r="AQ157" s="1551"/>
      <c r="AR157" s="1553"/>
      <c r="AS157" s="1555"/>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9"/>
      <c r="AW157" s="642" t="str">
        <f>IF('別紙様式2-2（４・５月分）'!O121="","",'別紙様式2-2（４・５月分）'!O121)</f>
        <v/>
      </c>
      <c r="AX157" s="1503"/>
      <c r="AY157" s="663"/>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2247</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2161</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84">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30"/>
      <c r="AW158" s="642" t="str">
        <f>IF('別紙様式2-2（４・５月分）'!O122="","",'別紙様式2-2（４・５月分）'!O122)</f>
        <v/>
      </c>
      <c r="AX158" s="1503">
        <f>SUM('別紙様式2-2（４・５月分）'!P122:P124)</f>
        <v>0</v>
      </c>
      <c r="AY158" s="1588" t="str">
        <f>IFERROR(VLOOKUP(K158,【参考】数式用!$AJ$2:$AK$24,2,FALSE),"")</f>
        <v/>
      </c>
      <c r="AZ158" s="576"/>
      <c r="BE158" s="420"/>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85"/>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4"/>
      <c r="AV159" s="1489"/>
      <c r="AW159" s="1514" t="str">
        <f>IF('別紙様式2-2（４・５月分）'!O123="","",'別紙様式2-2（４・５月分）'!O123)</f>
        <v/>
      </c>
      <c r="AX159" s="1503"/>
      <c r="AY159" s="1587"/>
      <c r="AZ159" s="513"/>
      <c r="BE159" s="420"/>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2" t="str">
        <f>IFERROR(IF(OR(N161="ベア加算",N161=""),"",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4"/>
      <c r="AV160" s="1489" t="str">
        <f t="shared" ref="AV160" si="175">IF(OR(AB158&lt;&gt;7,AD158&lt;&gt;3),"V列に色付け","")</f>
        <v/>
      </c>
      <c r="AW160" s="1514"/>
      <c r="AX160" s="1503"/>
      <c r="AY160" s="661"/>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0"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3"/>
      <c r="AN161" s="1545"/>
      <c r="AO161" s="1551"/>
      <c r="AP161" s="1549"/>
      <c r="AQ161" s="1551"/>
      <c r="AR161" s="1553"/>
      <c r="AS161" s="1555"/>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9"/>
      <c r="AW161" s="642" t="str">
        <f>IF('別紙様式2-2（４・５月分）'!O124="","",'別紙様式2-2（４・５月分）'!O124)</f>
        <v/>
      </c>
      <c r="AX161" s="1503"/>
      <c r="AY161" s="663"/>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2247</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2161</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84">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30"/>
      <c r="AW162" s="642" t="str">
        <f>IF('別紙様式2-2（４・５月分）'!O125="","",'別紙様式2-2（４・５月分）'!O125)</f>
        <v/>
      </c>
      <c r="AX162" s="1503">
        <f>SUM('別紙様式2-2（４・５月分）'!P125:P127)</f>
        <v>0</v>
      </c>
      <c r="AY162" s="1587" t="str">
        <f>IFERROR(VLOOKUP(K162,【参考】数式用!$AJ$2:$AK$24,2,FALSE),"")</f>
        <v/>
      </c>
      <c r="AZ162" s="576"/>
      <c r="BE162" s="420"/>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85"/>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4"/>
      <c r="AV163" s="1489"/>
      <c r="AW163" s="1514" t="str">
        <f>IF('別紙様式2-2（４・５月分）'!O126="","",'別紙様式2-2（４・５月分）'!O126)</f>
        <v/>
      </c>
      <c r="AX163" s="1503"/>
      <c r="AY163" s="1587"/>
      <c r="AZ163" s="513"/>
      <c r="BE163" s="420"/>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2" t="str">
        <f>IFERROR(IF(OR(N165="ベア加算",N165=""),"",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4"/>
      <c r="AV164" s="1489" t="str">
        <f t="shared" ref="AV164" si="180">IF(OR(AB162&lt;&gt;7,AD162&lt;&gt;3),"V列に色付け","")</f>
        <v/>
      </c>
      <c r="AW164" s="1514"/>
      <c r="AX164" s="1503"/>
      <c r="AY164" s="661"/>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0"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3"/>
      <c r="AN165" s="1545"/>
      <c r="AO165" s="1551"/>
      <c r="AP165" s="1549"/>
      <c r="AQ165" s="1551"/>
      <c r="AR165" s="1553"/>
      <c r="AS165" s="1555"/>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9"/>
      <c r="AW165" s="642" t="str">
        <f>IF('別紙様式2-2（４・５月分）'!O127="","",'別紙様式2-2（４・５月分）'!O127)</f>
        <v/>
      </c>
      <c r="AX165" s="1503"/>
      <c r="AY165" s="663"/>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2247</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2161</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84">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30"/>
      <c r="AW166" s="642" t="str">
        <f>IF('別紙様式2-2（４・５月分）'!O128="","",'別紙様式2-2（４・５月分）'!O128)</f>
        <v/>
      </c>
      <c r="AX166" s="1503">
        <f>SUM('別紙様式2-2（４・５月分）'!P128:P130)</f>
        <v>0</v>
      </c>
      <c r="AY166" s="1588" t="str">
        <f>IFERROR(VLOOKUP(K166,【参考】数式用!$AJ$2:$AK$24,2,FALSE),"")</f>
        <v/>
      </c>
      <c r="AZ166" s="576"/>
      <c r="BE166" s="420"/>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85"/>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4"/>
      <c r="AV167" s="1489"/>
      <c r="AW167" s="1514" t="str">
        <f>IF('別紙様式2-2（４・５月分）'!O129="","",'別紙様式2-2（４・５月分）'!O129)</f>
        <v/>
      </c>
      <c r="AX167" s="1503"/>
      <c r="AY167" s="1587"/>
      <c r="AZ167" s="513"/>
      <c r="BE167" s="420"/>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2" t="str">
        <f>IFERROR(IF(OR(N169="ベア加算",N169=""),"",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4"/>
      <c r="AV168" s="1489" t="str">
        <f t="shared" ref="AV168" si="185">IF(OR(AB166&lt;&gt;7,AD166&lt;&gt;3),"V列に色付け","")</f>
        <v/>
      </c>
      <c r="AW168" s="1514"/>
      <c r="AX168" s="1503"/>
      <c r="AY168" s="661"/>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0"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3"/>
      <c r="AN169" s="1545"/>
      <c r="AO169" s="1551"/>
      <c r="AP169" s="1549"/>
      <c r="AQ169" s="1551"/>
      <c r="AR169" s="1553"/>
      <c r="AS169" s="1555"/>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9"/>
      <c r="AW169" s="642" t="str">
        <f>IF('別紙様式2-2（４・５月分）'!O130="","",'別紙様式2-2（４・５月分）'!O130)</f>
        <v/>
      </c>
      <c r="AX169" s="1503"/>
      <c r="AY169" s="663"/>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2247</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2161</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84">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30"/>
      <c r="AW170" s="642" t="str">
        <f>IF('別紙様式2-2（４・５月分）'!O131="","",'別紙様式2-2（４・５月分）'!O131)</f>
        <v/>
      </c>
      <c r="AX170" s="1503">
        <f>SUM('別紙様式2-2（４・５月分）'!P131:P133)</f>
        <v>0</v>
      </c>
      <c r="AY170" s="1587" t="str">
        <f>IFERROR(VLOOKUP(K170,【参考】数式用!$AJ$2:$AK$24,2,FALSE),"")</f>
        <v/>
      </c>
      <c r="AZ170" s="576"/>
      <c r="BE170" s="420"/>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85"/>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4"/>
      <c r="AV171" s="1489"/>
      <c r="AW171" s="1514" t="str">
        <f>IF('別紙様式2-2（４・５月分）'!O132="","",'別紙様式2-2（４・５月分）'!O132)</f>
        <v/>
      </c>
      <c r="AX171" s="1503"/>
      <c r="AY171" s="1587"/>
      <c r="AZ171" s="513"/>
      <c r="BE171" s="420"/>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2" t="str">
        <f>IFERROR(IF(OR(N173="ベア加算",N173=""),"",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4"/>
      <c r="AV172" s="1489" t="str">
        <f t="shared" ref="AV172" si="190">IF(OR(AB170&lt;&gt;7,AD170&lt;&gt;3),"V列に色付け","")</f>
        <v/>
      </c>
      <c r="AW172" s="1514"/>
      <c r="AX172" s="1503"/>
      <c r="AY172" s="661"/>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0"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3"/>
      <c r="AN173" s="1545"/>
      <c r="AO173" s="1551"/>
      <c r="AP173" s="1549"/>
      <c r="AQ173" s="1551"/>
      <c r="AR173" s="1553"/>
      <c r="AS173" s="1555"/>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9"/>
      <c r="AW173" s="642" t="str">
        <f>IF('別紙様式2-2（４・５月分）'!O133="","",'別紙様式2-2（４・５月分）'!O133)</f>
        <v/>
      </c>
      <c r="AX173" s="1503"/>
      <c r="AY173" s="663"/>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2247</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2161</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84">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30"/>
      <c r="AW174" s="642" t="str">
        <f>IF('別紙様式2-2（４・５月分）'!O134="","",'別紙様式2-2（４・５月分）'!O134)</f>
        <v/>
      </c>
      <c r="AX174" s="1503">
        <f>SUM('別紙様式2-2（４・５月分）'!P134:P136)</f>
        <v>0</v>
      </c>
      <c r="AY174" s="1588" t="str">
        <f>IFERROR(VLOOKUP(K174,【参考】数式用!$AJ$2:$AK$24,2,FALSE),"")</f>
        <v/>
      </c>
      <c r="AZ174" s="576"/>
      <c r="BE174" s="420"/>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85"/>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4"/>
      <c r="AV175" s="1489"/>
      <c r="AW175" s="1514" t="str">
        <f>IF('別紙様式2-2（４・５月分）'!O135="","",'別紙様式2-2（４・５月分）'!O135)</f>
        <v/>
      </c>
      <c r="AX175" s="1503"/>
      <c r="AY175" s="1587"/>
      <c r="AZ175" s="513"/>
      <c r="BE175" s="420"/>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2" t="str">
        <f>IFERROR(IF(OR(N177="ベア加算",N177=""),"",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4"/>
      <c r="AV176" s="1489" t="str">
        <f t="shared" ref="AV176" si="195">IF(OR(AB174&lt;&gt;7,AD174&lt;&gt;3),"V列に色付け","")</f>
        <v/>
      </c>
      <c r="AW176" s="1514"/>
      <c r="AX176" s="1503"/>
      <c r="AY176" s="661"/>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0"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3"/>
      <c r="AN177" s="1545"/>
      <c r="AO177" s="1551"/>
      <c r="AP177" s="1549"/>
      <c r="AQ177" s="1551"/>
      <c r="AR177" s="1553"/>
      <c r="AS177" s="1555"/>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9"/>
      <c r="AW177" s="642" t="str">
        <f>IF('別紙様式2-2（４・５月分）'!O136="","",'別紙様式2-2（４・５月分）'!O136)</f>
        <v/>
      </c>
      <c r="AX177" s="1503"/>
      <c r="AY177" s="663"/>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2247</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2161</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84">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30"/>
      <c r="AW178" s="642" t="str">
        <f>IF('別紙様式2-2（４・５月分）'!O137="","",'別紙様式2-2（４・５月分）'!O137)</f>
        <v/>
      </c>
      <c r="AX178" s="1503">
        <f>SUM('別紙様式2-2（４・５月分）'!P137:P139)</f>
        <v>0</v>
      </c>
      <c r="AY178" s="1587" t="str">
        <f>IFERROR(VLOOKUP(K178,【参考】数式用!$AJ$2:$AK$24,2,FALSE),"")</f>
        <v/>
      </c>
      <c r="AZ178" s="576"/>
      <c r="BE178" s="420"/>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85"/>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4"/>
      <c r="AV179" s="1489"/>
      <c r="AW179" s="1514" t="str">
        <f>IF('別紙様式2-2（４・５月分）'!O138="","",'別紙様式2-2（４・５月分）'!O138)</f>
        <v/>
      </c>
      <c r="AX179" s="1503"/>
      <c r="AY179" s="1587"/>
      <c r="AZ179" s="513"/>
      <c r="BE179" s="420"/>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2" t="str">
        <f>IFERROR(IF(OR(N181="ベア加算",N181=""),"",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4"/>
      <c r="AV180" s="1489" t="str">
        <f t="shared" ref="AV180" si="200">IF(OR(AB178&lt;&gt;7,AD178&lt;&gt;3),"V列に色付け","")</f>
        <v/>
      </c>
      <c r="AW180" s="1514"/>
      <c r="AX180" s="1503"/>
      <c r="AY180" s="661"/>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0"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3"/>
      <c r="AN181" s="1545"/>
      <c r="AO181" s="1551"/>
      <c r="AP181" s="1549"/>
      <c r="AQ181" s="1551"/>
      <c r="AR181" s="1553"/>
      <c r="AS181" s="1555"/>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9"/>
      <c r="AW181" s="642" t="str">
        <f>IF('別紙様式2-2（４・５月分）'!O139="","",'別紙様式2-2（４・５月分）'!O139)</f>
        <v/>
      </c>
      <c r="AX181" s="1503"/>
      <c r="AY181" s="663"/>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2247</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2161</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84">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30"/>
      <c r="AW182" s="642" t="str">
        <f>IF('別紙様式2-2（４・５月分）'!O140="","",'別紙様式2-2（４・５月分）'!O140)</f>
        <v/>
      </c>
      <c r="AX182" s="1503">
        <f>SUM('別紙様式2-2（４・５月分）'!P140:P142)</f>
        <v>0</v>
      </c>
      <c r="AY182" s="1588" t="str">
        <f>IFERROR(VLOOKUP(K182,【参考】数式用!$AJ$2:$AK$24,2,FALSE),"")</f>
        <v/>
      </c>
      <c r="AZ182" s="576"/>
      <c r="BE182" s="420"/>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85"/>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4"/>
      <c r="AV183" s="1489"/>
      <c r="AW183" s="1514" t="str">
        <f>IF('別紙様式2-2（４・５月分）'!O141="","",'別紙様式2-2（４・５月分）'!O141)</f>
        <v/>
      </c>
      <c r="AX183" s="1503"/>
      <c r="AY183" s="1587"/>
      <c r="AZ183" s="513"/>
      <c r="BE183" s="420"/>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2" t="str">
        <f>IFERROR(IF(OR(N185="ベア加算",N185=""),"",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4"/>
      <c r="AV184" s="1489" t="str">
        <f t="shared" ref="AV184" si="205">IF(OR(AB182&lt;&gt;7,AD182&lt;&gt;3),"V列に色付け","")</f>
        <v/>
      </c>
      <c r="AW184" s="1514"/>
      <c r="AX184" s="1503"/>
      <c r="AY184" s="661"/>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0"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3"/>
      <c r="AN185" s="1545"/>
      <c r="AO185" s="1551"/>
      <c r="AP185" s="1549"/>
      <c r="AQ185" s="1551"/>
      <c r="AR185" s="1553"/>
      <c r="AS185" s="1555"/>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9"/>
      <c r="AW185" s="642" t="str">
        <f>IF('別紙様式2-2（４・５月分）'!O142="","",'別紙様式2-2（４・５月分）'!O142)</f>
        <v/>
      </c>
      <c r="AX185" s="1503"/>
      <c r="AY185" s="663"/>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2247</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2161</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84">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30"/>
      <c r="AW186" s="642" t="str">
        <f>IF('別紙様式2-2（４・５月分）'!O143="","",'別紙様式2-2（４・５月分）'!O143)</f>
        <v/>
      </c>
      <c r="AX186" s="1503">
        <f>SUM('別紙様式2-2（４・５月分）'!P143:P145)</f>
        <v>0</v>
      </c>
      <c r="AY186" s="1587" t="str">
        <f>IFERROR(VLOOKUP(K186,【参考】数式用!$AJ$2:$AK$24,2,FALSE),"")</f>
        <v/>
      </c>
      <c r="AZ186" s="576"/>
      <c r="BE186" s="420"/>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85"/>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4"/>
      <c r="AV187" s="1489"/>
      <c r="AW187" s="1514" t="str">
        <f>IF('別紙様式2-2（４・５月分）'!O144="","",'別紙様式2-2（４・５月分）'!O144)</f>
        <v/>
      </c>
      <c r="AX187" s="1503"/>
      <c r="AY187" s="1587"/>
      <c r="AZ187" s="513"/>
      <c r="BE187" s="420"/>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2" t="str">
        <f>IFERROR(IF(OR(N189="ベア加算",N189=""),"",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4"/>
      <c r="AV188" s="1489" t="str">
        <f t="shared" ref="AV188" si="210">IF(OR(AB186&lt;&gt;7,AD186&lt;&gt;3),"V列に色付け","")</f>
        <v/>
      </c>
      <c r="AW188" s="1514"/>
      <c r="AX188" s="1503"/>
      <c r="AY188" s="661"/>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0"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3"/>
      <c r="AN189" s="1545"/>
      <c r="AO189" s="1551"/>
      <c r="AP189" s="1549"/>
      <c r="AQ189" s="1551"/>
      <c r="AR189" s="1553"/>
      <c r="AS189" s="1555"/>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9"/>
      <c r="AW189" s="642" t="str">
        <f>IF('別紙様式2-2（４・５月分）'!O145="","",'別紙様式2-2（４・５月分）'!O145)</f>
        <v/>
      </c>
      <c r="AX189" s="1503"/>
      <c r="AY189" s="663"/>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2247</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2161</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84">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30"/>
      <c r="AW190" s="642" t="str">
        <f>IF('別紙様式2-2（４・５月分）'!O146="","",'別紙様式2-2（４・５月分）'!O146)</f>
        <v/>
      </c>
      <c r="AX190" s="1503">
        <f>SUM('別紙様式2-2（４・５月分）'!P146:P148)</f>
        <v>0</v>
      </c>
      <c r="AY190" s="1588" t="str">
        <f>IFERROR(VLOOKUP(K190,【参考】数式用!$AJ$2:$AK$24,2,FALSE),"")</f>
        <v/>
      </c>
      <c r="AZ190" s="576"/>
      <c r="BE190" s="420"/>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85"/>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4"/>
      <c r="AV191" s="1489"/>
      <c r="AW191" s="1514" t="str">
        <f>IF('別紙様式2-2（４・５月分）'!O147="","",'別紙様式2-2（４・５月分）'!O147)</f>
        <v/>
      </c>
      <c r="AX191" s="1503"/>
      <c r="AY191" s="1587"/>
      <c r="AZ191" s="513"/>
      <c r="BE191" s="420"/>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2" t="str">
        <f>IFERROR(IF(OR(N193="ベア加算",N193=""),"",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4"/>
      <c r="AV192" s="1489" t="str">
        <f t="shared" ref="AV192" si="215">IF(OR(AB190&lt;&gt;7,AD190&lt;&gt;3),"V列に色付け","")</f>
        <v/>
      </c>
      <c r="AW192" s="1514"/>
      <c r="AX192" s="1503"/>
      <c r="AY192" s="661"/>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0"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3"/>
      <c r="AN193" s="1545"/>
      <c r="AO193" s="1551"/>
      <c r="AP193" s="1549"/>
      <c r="AQ193" s="1551"/>
      <c r="AR193" s="1553"/>
      <c r="AS193" s="1555"/>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9"/>
      <c r="AW193" s="642" t="str">
        <f>IF('別紙様式2-2（４・５月分）'!O148="","",'別紙様式2-2（４・５月分）'!O148)</f>
        <v/>
      </c>
      <c r="AX193" s="1503"/>
      <c r="AY193" s="663"/>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2247</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2161</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84">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30"/>
      <c r="AW194" s="642" t="str">
        <f>IF('別紙様式2-2（４・５月分）'!O149="","",'別紙様式2-2（４・５月分）'!O149)</f>
        <v/>
      </c>
      <c r="AX194" s="1503">
        <f>SUM('別紙様式2-2（４・５月分）'!P149:P151)</f>
        <v>0</v>
      </c>
      <c r="AY194" s="1587" t="str">
        <f>IFERROR(VLOOKUP(K194,【参考】数式用!$AJ$2:$AK$24,2,FALSE),"")</f>
        <v/>
      </c>
      <c r="AZ194" s="576"/>
      <c r="BE194" s="420"/>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85"/>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4"/>
      <c r="AV195" s="1489"/>
      <c r="AW195" s="1514" t="str">
        <f>IF('別紙様式2-2（４・５月分）'!O150="","",'別紙様式2-2（４・５月分）'!O150)</f>
        <v/>
      </c>
      <c r="AX195" s="1503"/>
      <c r="AY195" s="1587"/>
      <c r="AZ195" s="513"/>
      <c r="BE195" s="420"/>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2" t="str">
        <f>IFERROR(IF(OR(N197="ベア加算",N197=""),"",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4"/>
      <c r="AV196" s="1489" t="str">
        <f t="shared" ref="AV196" si="220">IF(OR(AB194&lt;&gt;7,AD194&lt;&gt;3),"V列に色付け","")</f>
        <v/>
      </c>
      <c r="AW196" s="1514"/>
      <c r="AX196" s="1503"/>
      <c r="AY196" s="661"/>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0"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3"/>
      <c r="AN197" s="1545"/>
      <c r="AO197" s="1551"/>
      <c r="AP197" s="1549"/>
      <c r="AQ197" s="1551"/>
      <c r="AR197" s="1553"/>
      <c r="AS197" s="1555"/>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9"/>
      <c r="AW197" s="642" t="str">
        <f>IF('別紙様式2-2（４・５月分）'!O151="","",'別紙様式2-2（４・５月分）'!O151)</f>
        <v/>
      </c>
      <c r="AX197" s="1503"/>
      <c r="AY197" s="663"/>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2247</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2161</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84">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30"/>
      <c r="AW198" s="642" t="str">
        <f>IF('別紙様式2-2（４・５月分）'!O152="","",'別紙様式2-2（４・５月分）'!O152)</f>
        <v/>
      </c>
      <c r="AX198" s="1503">
        <f>SUM('別紙様式2-2（４・５月分）'!P152:P154)</f>
        <v>0</v>
      </c>
      <c r="AY198" s="1588" t="str">
        <f>IFERROR(VLOOKUP(K198,【参考】数式用!$AJ$2:$AK$24,2,FALSE),"")</f>
        <v/>
      </c>
      <c r="AZ198" s="576"/>
      <c r="BE198" s="420"/>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85"/>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4"/>
      <c r="AV199" s="1489"/>
      <c r="AW199" s="1514" t="str">
        <f>IF('別紙様式2-2（４・５月分）'!O153="","",'別紙様式2-2（４・５月分）'!O153)</f>
        <v/>
      </c>
      <c r="AX199" s="1503"/>
      <c r="AY199" s="1587"/>
      <c r="AZ199" s="513"/>
      <c r="BE199" s="420"/>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2" t="str">
        <f>IFERROR(IF(OR(N201="ベア加算",N201=""),"",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4"/>
      <c r="AV200" s="1489" t="str">
        <f t="shared" ref="AV200" si="225">IF(OR(AB198&lt;&gt;7,AD198&lt;&gt;3),"V列に色付け","")</f>
        <v/>
      </c>
      <c r="AW200" s="1514"/>
      <c r="AX200" s="1503"/>
      <c r="AY200" s="661"/>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0"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3"/>
      <c r="AN201" s="1545"/>
      <c r="AO201" s="1551"/>
      <c r="AP201" s="1549"/>
      <c r="AQ201" s="1551"/>
      <c r="AR201" s="1553"/>
      <c r="AS201" s="1555"/>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9"/>
      <c r="AW201" s="642" t="str">
        <f>IF('別紙様式2-2（４・５月分）'!O154="","",'別紙様式2-2（４・５月分）'!O154)</f>
        <v/>
      </c>
      <c r="AX201" s="1503"/>
      <c r="AY201" s="663"/>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2247</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2161</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84">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30"/>
      <c r="AW202" s="642" t="str">
        <f>IF('別紙様式2-2（４・５月分）'!O155="","",'別紙様式2-2（４・５月分）'!O155)</f>
        <v/>
      </c>
      <c r="AX202" s="1503">
        <f>SUM('別紙様式2-2（４・５月分）'!P155:P157)</f>
        <v>0</v>
      </c>
      <c r="AY202" s="1587" t="str">
        <f>IFERROR(VLOOKUP(K202,【参考】数式用!$AJ$2:$AK$24,2,FALSE),"")</f>
        <v/>
      </c>
      <c r="AZ202" s="576"/>
      <c r="BE202" s="420"/>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85"/>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4"/>
      <c r="AV203" s="1489"/>
      <c r="AW203" s="1514" t="str">
        <f>IF('別紙様式2-2（４・５月分）'!O156="","",'別紙様式2-2（４・５月分）'!O156)</f>
        <v/>
      </c>
      <c r="AX203" s="1503"/>
      <c r="AY203" s="1587"/>
      <c r="AZ203" s="513"/>
      <c r="BE203" s="420"/>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2" t="str">
        <f>IFERROR(IF(OR(N205="ベア加算",N205=""),"",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4"/>
      <c r="AV204" s="1489" t="str">
        <f t="shared" ref="AV204" si="230">IF(OR(AB202&lt;&gt;7,AD202&lt;&gt;3),"V列に色付け","")</f>
        <v/>
      </c>
      <c r="AW204" s="1514"/>
      <c r="AX204" s="1503"/>
      <c r="AY204" s="661"/>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0"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3"/>
      <c r="AN205" s="1545"/>
      <c r="AO205" s="1551"/>
      <c r="AP205" s="1549"/>
      <c r="AQ205" s="1551"/>
      <c r="AR205" s="1553"/>
      <c r="AS205" s="1555"/>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9"/>
      <c r="AW205" s="642" t="str">
        <f>IF('別紙様式2-2（４・５月分）'!O157="","",'別紙様式2-2（４・５月分）'!O157)</f>
        <v/>
      </c>
      <c r="AX205" s="1503"/>
      <c r="AY205" s="663"/>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2247</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2161</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84">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30"/>
      <c r="AW206" s="642" t="str">
        <f>IF('別紙様式2-2（４・５月分）'!O158="","",'別紙様式2-2（４・５月分）'!O158)</f>
        <v/>
      </c>
      <c r="AX206" s="1503">
        <f>SUM('別紙様式2-2（４・５月分）'!P158:P160)</f>
        <v>0</v>
      </c>
      <c r="AY206" s="1588" t="str">
        <f>IFERROR(VLOOKUP(K206,【参考】数式用!$AJ$2:$AK$24,2,FALSE),"")</f>
        <v/>
      </c>
      <c r="AZ206" s="576"/>
      <c r="BE206" s="420"/>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85"/>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4"/>
      <c r="AV207" s="1489"/>
      <c r="AW207" s="1514" t="str">
        <f>IF('別紙様式2-2（４・５月分）'!O159="","",'別紙様式2-2（４・５月分）'!O159)</f>
        <v/>
      </c>
      <c r="AX207" s="1503"/>
      <c r="AY207" s="1587"/>
      <c r="AZ207" s="513"/>
      <c r="BE207" s="420"/>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2" t="str">
        <f>IFERROR(IF(OR(N209="ベア加算",N209=""),"",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4"/>
      <c r="AV208" s="1489" t="str">
        <f t="shared" ref="AV208" si="235">IF(OR(AB206&lt;&gt;7,AD206&lt;&gt;3),"V列に色付け","")</f>
        <v/>
      </c>
      <c r="AW208" s="1514"/>
      <c r="AX208" s="1503"/>
      <c r="AY208" s="661"/>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0"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3"/>
      <c r="AN209" s="1545"/>
      <c r="AO209" s="1551"/>
      <c r="AP209" s="1549"/>
      <c r="AQ209" s="1551"/>
      <c r="AR209" s="1553"/>
      <c r="AS209" s="1555"/>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9"/>
      <c r="AW209" s="642" t="str">
        <f>IF('別紙様式2-2（４・５月分）'!O160="","",'別紙様式2-2（４・５月分）'!O160)</f>
        <v/>
      </c>
      <c r="AX209" s="1503"/>
      <c r="AY209" s="663"/>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2247</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2161</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84">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30"/>
      <c r="AW210" s="642" t="str">
        <f>IF('別紙様式2-2（４・５月分）'!O161="","",'別紙様式2-2（４・５月分）'!O161)</f>
        <v/>
      </c>
      <c r="AX210" s="1503">
        <f>SUM('別紙様式2-2（４・５月分）'!P161:P163)</f>
        <v>0</v>
      </c>
      <c r="AY210" s="1587" t="str">
        <f>IFERROR(VLOOKUP(K210,【参考】数式用!$AJ$2:$AK$24,2,FALSE),"")</f>
        <v/>
      </c>
      <c r="AZ210" s="576"/>
      <c r="BE210" s="420"/>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85"/>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4"/>
      <c r="AV211" s="1489"/>
      <c r="AW211" s="1514" t="str">
        <f>IF('別紙様式2-2（４・５月分）'!O162="","",'別紙様式2-2（４・５月分）'!O162)</f>
        <v/>
      </c>
      <c r="AX211" s="1503"/>
      <c r="AY211" s="1587"/>
      <c r="AZ211" s="513"/>
      <c r="BE211" s="420"/>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2" t="str">
        <f>IFERROR(IF(OR(N213="ベア加算",N213=""),"",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4"/>
      <c r="AV212" s="1489" t="str">
        <f t="shared" ref="AV212" si="240">IF(OR(AB210&lt;&gt;7,AD210&lt;&gt;3),"V列に色付け","")</f>
        <v/>
      </c>
      <c r="AW212" s="1514"/>
      <c r="AX212" s="1503"/>
      <c r="AY212" s="661"/>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0"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3"/>
      <c r="AN213" s="1545"/>
      <c r="AO213" s="1551"/>
      <c r="AP213" s="1549"/>
      <c r="AQ213" s="1551"/>
      <c r="AR213" s="1553"/>
      <c r="AS213" s="1555"/>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9"/>
      <c r="AW213" s="642" t="str">
        <f>IF('別紙様式2-2（４・５月分）'!O163="","",'別紙様式2-2（４・５月分）'!O163)</f>
        <v/>
      </c>
      <c r="AX213" s="1503"/>
      <c r="AY213" s="663"/>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2247</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2161</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84">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30"/>
      <c r="AW214" s="642" t="str">
        <f>IF('別紙様式2-2（４・５月分）'!O164="","",'別紙様式2-2（４・５月分）'!O164)</f>
        <v/>
      </c>
      <c r="AX214" s="1503">
        <f>SUM('別紙様式2-2（４・５月分）'!P164:P166)</f>
        <v>0</v>
      </c>
      <c r="AY214" s="1588" t="str">
        <f>IFERROR(VLOOKUP(K214,【参考】数式用!$AJ$2:$AK$24,2,FALSE),"")</f>
        <v/>
      </c>
      <c r="AZ214" s="576"/>
      <c r="BE214" s="420"/>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85"/>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4"/>
      <c r="AV215" s="1489"/>
      <c r="AW215" s="1514" t="str">
        <f>IF('別紙様式2-2（４・５月分）'!O165="","",'別紙様式2-2（４・５月分）'!O165)</f>
        <v/>
      </c>
      <c r="AX215" s="1503"/>
      <c r="AY215" s="1587"/>
      <c r="AZ215" s="513"/>
      <c r="BE215" s="420"/>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2" t="str">
        <f>IFERROR(IF(OR(N217="ベア加算",N217=""),"",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4"/>
      <c r="AV216" s="1489" t="str">
        <f t="shared" ref="AV216" si="245">IF(OR(AB214&lt;&gt;7,AD214&lt;&gt;3),"V列に色付け","")</f>
        <v/>
      </c>
      <c r="AW216" s="1514"/>
      <c r="AX216" s="1503"/>
      <c r="AY216" s="661"/>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0"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3"/>
      <c r="AN217" s="1545"/>
      <c r="AO217" s="1551"/>
      <c r="AP217" s="1549"/>
      <c r="AQ217" s="1551"/>
      <c r="AR217" s="1553"/>
      <c r="AS217" s="1555"/>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9"/>
      <c r="AW217" s="642" t="str">
        <f>IF('別紙様式2-2（４・５月分）'!O166="","",'別紙様式2-2（４・５月分）'!O166)</f>
        <v/>
      </c>
      <c r="AX217" s="1503"/>
      <c r="AY217" s="663"/>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2247</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2161</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84">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30"/>
      <c r="AW218" s="642" t="str">
        <f>IF('別紙様式2-2（４・５月分）'!O167="","",'別紙様式2-2（４・５月分）'!O167)</f>
        <v/>
      </c>
      <c r="AX218" s="1503">
        <f>SUM('別紙様式2-2（４・５月分）'!P167:P169)</f>
        <v>0</v>
      </c>
      <c r="AY218" s="1587" t="str">
        <f>IFERROR(VLOOKUP(K218,【参考】数式用!$AJ$2:$AK$24,2,FALSE),"")</f>
        <v/>
      </c>
      <c r="AZ218" s="576"/>
      <c r="BE218" s="420"/>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85"/>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4"/>
      <c r="AV219" s="1489"/>
      <c r="AW219" s="1514" t="str">
        <f>IF('別紙様式2-2（４・５月分）'!O168="","",'別紙様式2-2（４・５月分）'!O168)</f>
        <v/>
      </c>
      <c r="AX219" s="1503"/>
      <c r="AY219" s="1587"/>
      <c r="AZ219" s="513"/>
      <c r="BE219" s="420"/>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2" t="str">
        <f>IFERROR(IF(OR(N221="ベア加算",N221=""),"",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4"/>
      <c r="AV220" s="1489" t="str">
        <f t="shared" ref="AV220" si="250">IF(OR(AB218&lt;&gt;7,AD218&lt;&gt;3),"V列に色付け","")</f>
        <v/>
      </c>
      <c r="AW220" s="1514"/>
      <c r="AX220" s="1503"/>
      <c r="AY220" s="661"/>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0"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3"/>
      <c r="AN221" s="1545"/>
      <c r="AO221" s="1551"/>
      <c r="AP221" s="1549"/>
      <c r="AQ221" s="1551"/>
      <c r="AR221" s="1553"/>
      <c r="AS221" s="1555"/>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9"/>
      <c r="AW221" s="642" t="str">
        <f>IF('別紙様式2-2（４・５月分）'!O169="","",'別紙様式2-2（４・５月分）'!O169)</f>
        <v/>
      </c>
      <c r="AX221" s="1503"/>
      <c r="AY221" s="663"/>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2247</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2161</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84">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30"/>
      <c r="AW222" s="642" t="str">
        <f>IF('別紙様式2-2（４・５月分）'!O170="","",'別紙様式2-2（４・５月分）'!O170)</f>
        <v/>
      </c>
      <c r="AX222" s="1503">
        <f>SUM('別紙様式2-2（４・５月分）'!P170:P172)</f>
        <v>0</v>
      </c>
      <c r="AY222" s="1588" t="str">
        <f>IFERROR(VLOOKUP(K222,【参考】数式用!$AJ$2:$AK$24,2,FALSE),"")</f>
        <v/>
      </c>
      <c r="AZ222" s="576"/>
      <c r="BE222" s="420"/>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85"/>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4"/>
      <c r="AV223" s="1489"/>
      <c r="AW223" s="1514" t="str">
        <f>IF('別紙様式2-2（４・５月分）'!O171="","",'別紙様式2-2（４・５月分）'!O171)</f>
        <v/>
      </c>
      <c r="AX223" s="1503"/>
      <c r="AY223" s="1587"/>
      <c r="AZ223" s="513"/>
      <c r="BE223" s="420"/>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2" t="str">
        <f>IFERROR(IF(OR(N225="ベア加算",N225=""),"",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4"/>
      <c r="AV224" s="1489" t="str">
        <f t="shared" ref="AV224" si="255">IF(OR(AB222&lt;&gt;7,AD222&lt;&gt;3),"V列に色付け","")</f>
        <v/>
      </c>
      <c r="AW224" s="1514"/>
      <c r="AX224" s="1503"/>
      <c r="AY224" s="661"/>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0"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3"/>
      <c r="AN225" s="1545"/>
      <c r="AO225" s="1551"/>
      <c r="AP225" s="1549"/>
      <c r="AQ225" s="1551"/>
      <c r="AR225" s="1553"/>
      <c r="AS225" s="1555"/>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9"/>
      <c r="AW225" s="642" t="str">
        <f>IF('別紙様式2-2（４・５月分）'!O172="","",'別紙様式2-2（４・５月分）'!O172)</f>
        <v/>
      </c>
      <c r="AX225" s="1503"/>
      <c r="AY225" s="663"/>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2247</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2161</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84">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30"/>
      <c r="AW226" s="642" t="str">
        <f>IF('別紙様式2-2（４・５月分）'!O173="","",'別紙様式2-2（４・５月分）'!O173)</f>
        <v/>
      </c>
      <c r="AX226" s="1503">
        <f>SUM('別紙様式2-2（４・５月分）'!P173:P175)</f>
        <v>0</v>
      </c>
      <c r="AY226" s="1587" t="str">
        <f>IFERROR(VLOOKUP(K226,【参考】数式用!$AJ$2:$AK$24,2,FALSE),"")</f>
        <v/>
      </c>
      <c r="AZ226" s="576"/>
      <c r="BE226" s="420"/>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85"/>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4"/>
      <c r="AV227" s="1489"/>
      <c r="AW227" s="1514" t="str">
        <f>IF('別紙様式2-2（４・５月分）'!O174="","",'別紙様式2-2（４・５月分）'!O174)</f>
        <v/>
      </c>
      <c r="AX227" s="1503"/>
      <c r="AY227" s="1587"/>
      <c r="AZ227" s="513"/>
      <c r="BE227" s="420"/>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2" t="str">
        <f>IFERROR(IF(OR(N229="ベア加算",N229=""),"",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4"/>
      <c r="AV228" s="1489" t="str">
        <f t="shared" ref="AV228" si="260">IF(OR(AB226&lt;&gt;7,AD226&lt;&gt;3),"V列に色付け","")</f>
        <v/>
      </c>
      <c r="AW228" s="1514"/>
      <c r="AX228" s="1503"/>
      <c r="AY228" s="661"/>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0"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3"/>
      <c r="AN229" s="1545"/>
      <c r="AO229" s="1551"/>
      <c r="AP229" s="1549"/>
      <c r="AQ229" s="1551"/>
      <c r="AR229" s="1553"/>
      <c r="AS229" s="1555"/>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9"/>
      <c r="AW229" s="642" t="str">
        <f>IF('別紙様式2-2（４・５月分）'!O175="","",'別紙様式2-2（４・５月分）'!O175)</f>
        <v/>
      </c>
      <c r="AX229" s="1503"/>
      <c r="AY229" s="663"/>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2247</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2161</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84">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30"/>
      <c r="AW230" s="642" t="str">
        <f>IF('別紙様式2-2（４・５月分）'!O176="","",'別紙様式2-2（４・５月分）'!O176)</f>
        <v/>
      </c>
      <c r="AX230" s="1503">
        <f>SUM('別紙様式2-2（４・５月分）'!P176:P178)</f>
        <v>0</v>
      </c>
      <c r="AY230" s="1588" t="str">
        <f>IFERROR(VLOOKUP(K230,【参考】数式用!$AJ$2:$AK$24,2,FALSE),"")</f>
        <v/>
      </c>
      <c r="AZ230" s="576"/>
      <c r="BE230" s="420"/>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85"/>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4"/>
      <c r="AV231" s="1489"/>
      <c r="AW231" s="1514" t="str">
        <f>IF('別紙様式2-2（４・５月分）'!O177="","",'別紙様式2-2（４・５月分）'!O177)</f>
        <v/>
      </c>
      <c r="AX231" s="1503"/>
      <c r="AY231" s="1587"/>
      <c r="AZ231" s="513"/>
      <c r="BE231" s="420"/>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2" t="str">
        <f>IFERROR(IF(OR(N233="ベア加算",N233=""),"",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4"/>
      <c r="AV232" s="1489" t="str">
        <f t="shared" ref="AV232" si="265">IF(OR(AB230&lt;&gt;7,AD230&lt;&gt;3),"V列に色付け","")</f>
        <v/>
      </c>
      <c r="AW232" s="1514"/>
      <c r="AX232" s="1503"/>
      <c r="AY232" s="661"/>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0"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3"/>
      <c r="AN233" s="1545"/>
      <c r="AO233" s="1551"/>
      <c r="AP233" s="1549"/>
      <c r="AQ233" s="1551"/>
      <c r="AR233" s="1553"/>
      <c r="AS233" s="1555"/>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9"/>
      <c r="AW233" s="642" t="str">
        <f>IF('別紙様式2-2（４・５月分）'!O178="","",'別紙様式2-2（４・５月分）'!O178)</f>
        <v/>
      </c>
      <c r="AX233" s="1503"/>
      <c r="AY233" s="663"/>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2247</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2161</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84">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30"/>
      <c r="AW234" s="642" t="str">
        <f>IF('別紙様式2-2（４・５月分）'!O179="","",'別紙様式2-2（４・５月分）'!O179)</f>
        <v/>
      </c>
      <c r="AX234" s="1503">
        <f>SUM('別紙様式2-2（４・５月分）'!P179:P181)</f>
        <v>0</v>
      </c>
      <c r="AY234" s="1587" t="str">
        <f>IFERROR(VLOOKUP(K234,【参考】数式用!$AJ$2:$AK$24,2,FALSE),"")</f>
        <v/>
      </c>
      <c r="AZ234" s="576"/>
      <c r="BE234" s="420"/>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85"/>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4"/>
      <c r="AV235" s="1489"/>
      <c r="AW235" s="1514" t="str">
        <f>IF('別紙様式2-2（４・５月分）'!O180="","",'別紙様式2-2（４・５月分）'!O180)</f>
        <v/>
      </c>
      <c r="AX235" s="1503"/>
      <c r="AY235" s="1587"/>
      <c r="AZ235" s="513"/>
      <c r="BE235" s="420"/>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2" t="str">
        <f>IFERROR(IF(OR(N237="ベア加算",N237=""),"",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4"/>
      <c r="AV236" s="1489" t="str">
        <f t="shared" ref="AV236" si="270">IF(OR(AB234&lt;&gt;7,AD234&lt;&gt;3),"V列に色付け","")</f>
        <v/>
      </c>
      <c r="AW236" s="1514"/>
      <c r="AX236" s="1503"/>
      <c r="AY236" s="661"/>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0"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3"/>
      <c r="AN237" s="1545"/>
      <c r="AO237" s="1551"/>
      <c r="AP237" s="1549"/>
      <c r="AQ237" s="1551"/>
      <c r="AR237" s="1553"/>
      <c r="AS237" s="1555"/>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9"/>
      <c r="AW237" s="642" t="str">
        <f>IF('別紙様式2-2（４・５月分）'!O181="","",'別紙様式2-2（４・５月分）'!O181)</f>
        <v/>
      </c>
      <c r="AX237" s="1503"/>
      <c r="AY237" s="663"/>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2247</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2161</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84">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30"/>
      <c r="AW238" s="642" t="str">
        <f>IF('別紙様式2-2（４・５月分）'!O182="","",'別紙様式2-2（４・５月分）'!O182)</f>
        <v/>
      </c>
      <c r="AX238" s="1503">
        <f>SUM('別紙様式2-2（４・５月分）'!P182:P184)</f>
        <v>0</v>
      </c>
      <c r="AY238" s="1588" t="str">
        <f>IFERROR(VLOOKUP(K238,【参考】数式用!$AJ$2:$AK$24,2,FALSE),"")</f>
        <v/>
      </c>
      <c r="AZ238" s="576"/>
      <c r="BE238" s="420"/>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85"/>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4"/>
      <c r="AV239" s="1489"/>
      <c r="AW239" s="1514" t="str">
        <f>IF('別紙様式2-2（４・５月分）'!O183="","",'別紙様式2-2（４・５月分）'!O183)</f>
        <v/>
      </c>
      <c r="AX239" s="1503"/>
      <c r="AY239" s="1587"/>
      <c r="AZ239" s="513"/>
      <c r="BE239" s="420"/>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2" t="str">
        <f>IFERROR(IF(OR(N241="ベア加算",N241=""),"",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4"/>
      <c r="AV240" s="1489" t="str">
        <f t="shared" ref="AV240" si="275">IF(OR(AB238&lt;&gt;7,AD238&lt;&gt;3),"V列に色付け","")</f>
        <v/>
      </c>
      <c r="AW240" s="1514"/>
      <c r="AX240" s="1503"/>
      <c r="AY240" s="661"/>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0"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3"/>
      <c r="AN241" s="1545"/>
      <c r="AO241" s="1551"/>
      <c r="AP241" s="1549"/>
      <c r="AQ241" s="1551"/>
      <c r="AR241" s="1553"/>
      <c r="AS241" s="1555"/>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9"/>
      <c r="AW241" s="642" t="str">
        <f>IF('別紙様式2-2（４・５月分）'!O184="","",'別紙様式2-2（４・５月分）'!O184)</f>
        <v/>
      </c>
      <c r="AX241" s="1503"/>
      <c r="AY241" s="663"/>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2247</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2161</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84">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30"/>
      <c r="AW242" s="642" t="str">
        <f>IF('別紙様式2-2（４・５月分）'!O185="","",'別紙様式2-2（４・５月分）'!O185)</f>
        <v/>
      </c>
      <c r="AX242" s="1503">
        <f>SUM('別紙様式2-2（４・５月分）'!P185:P187)</f>
        <v>0</v>
      </c>
      <c r="AY242" s="1587" t="str">
        <f>IFERROR(VLOOKUP(K242,【参考】数式用!$AJ$2:$AK$24,2,FALSE),"")</f>
        <v/>
      </c>
      <c r="AZ242" s="576"/>
      <c r="BE242" s="420"/>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85"/>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4"/>
      <c r="AV243" s="1489"/>
      <c r="AW243" s="1514" t="str">
        <f>IF('別紙様式2-2（４・５月分）'!O186="","",'別紙様式2-2（４・５月分）'!O186)</f>
        <v/>
      </c>
      <c r="AX243" s="1503"/>
      <c r="AY243" s="1587"/>
      <c r="AZ243" s="513"/>
      <c r="BE243" s="420"/>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2" t="str">
        <f>IFERROR(IF(OR(N245="ベア加算",N245=""),"",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4"/>
      <c r="AV244" s="1489" t="str">
        <f t="shared" ref="AV244" si="280">IF(OR(AB242&lt;&gt;7,AD242&lt;&gt;3),"V列に色付け","")</f>
        <v/>
      </c>
      <c r="AW244" s="1514"/>
      <c r="AX244" s="1503"/>
      <c r="AY244" s="661"/>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0"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3"/>
      <c r="AN245" s="1545"/>
      <c r="AO245" s="1551"/>
      <c r="AP245" s="1549"/>
      <c r="AQ245" s="1551"/>
      <c r="AR245" s="1553"/>
      <c r="AS245" s="1555"/>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9"/>
      <c r="AW245" s="642" t="str">
        <f>IF('別紙様式2-2（４・５月分）'!O187="","",'別紙様式2-2（４・５月分）'!O187)</f>
        <v/>
      </c>
      <c r="AX245" s="1503"/>
      <c r="AY245" s="663"/>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2247</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2161</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84">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30"/>
      <c r="AW246" s="642" t="str">
        <f>IF('別紙様式2-2（４・５月分）'!O188="","",'別紙様式2-2（４・５月分）'!O188)</f>
        <v/>
      </c>
      <c r="AX246" s="1503">
        <f>SUM('別紙様式2-2（４・５月分）'!P188:P190)</f>
        <v>0</v>
      </c>
      <c r="AY246" s="1588" t="str">
        <f>IFERROR(VLOOKUP(K246,【参考】数式用!$AJ$2:$AK$24,2,FALSE),"")</f>
        <v/>
      </c>
      <c r="AZ246" s="576"/>
      <c r="BE246" s="420"/>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85"/>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4"/>
      <c r="AV247" s="1489"/>
      <c r="AW247" s="1514" t="str">
        <f>IF('別紙様式2-2（４・５月分）'!O189="","",'別紙様式2-2（４・５月分）'!O189)</f>
        <v/>
      </c>
      <c r="AX247" s="1503"/>
      <c r="AY247" s="1587"/>
      <c r="AZ247" s="513"/>
      <c r="BE247" s="420"/>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2" t="str">
        <f>IFERROR(IF(OR(N249="ベア加算",N249=""),"",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4"/>
      <c r="AV248" s="1489" t="str">
        <f t="shared" ref="AV248" si="285">IF(OR(AB246&lt;&gt;7,AD246&lt;&gt;3),"V列に色付け","")</f>
        <v/>
      </c>
      <c r="AW248" s="1514"/>
      <c r="AX248" s="1503"/>
      <c r="AY248" s="661"/>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0"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3"/>
      <c r="AN249" s="1545"/>
      <c r="AO249" s="1551"/>
      <c r="AP249" s="1549"/>
      <c r="AQ249" s="1551"/>
      <c r="AR249" s="1553"/>
      <c r="AS249" s="1555"/>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9"/>
      <c r="AW249" s="642" t="str">
        <f>IF('別紙様式2-2（４・５月分）'!O190="","",'別紙様式2-2（４・５月分）'!O190)</f>
        <v/>
      </c>
      <c r="AX249" s="1503"/>
      <c r="AY249" s="663"/>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2247</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2161</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84">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30"/>
      <c r="AW250" s="642" t="str">
        <f>IF('別紙様式2-2（４・５月分）'!O191="","",'別紙様式2-2（４・５月分）'!O191)</f>
        <v/>
      </c>
      <c r="AX250" s="1503">
        <f>SUM('別紙様式2-2（４・５月分）'!P191:P193)</f>
        <v>0</v>
      </c>
      <c r="AY250" s="1587" t="str">
        <f>IFERROR(VLOOKUP(K250,【参考】数式用!$AJ$2:$AK$24,2,FALSE),"")</f>
        <v/>
      </c>
      <c r="AZ250" s="576"/>
      <c r="BE250" s="420"/>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85"/>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4"/>
      <c r="AV251" s="1489"/>
      <c r="AW251" s="1514" t="str">
        <f>IF('別紙様式2-2（４・５月分）'!O192="","",'別紙様式2-2（４・５月分）'!O192)</f>
        <v/>
      </c>
      <c r="AX251" s="1503"/>
      <c r="AY251" s="1587"/>
      <c r="AZ251" s="513"/>
      <c r="BE251" s="420"/>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2" t="str">
        <f>IFERROR(IF(OR(N253="ベア加算",N253=""),"",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4"/>
      <c r="AV252" s="1489" t="str">
        <f t="shared" ref="AV252" si="290">IF(OR(AB250&lt;&gt;7,AD250&lt;&gt;3),"V列に色付け","")</f>
        <v/>
      </c>
      <c r="AW252" s="1514"/>
      <c r="AX252" s="1503"/>
      <c r="AY252" s="661"/>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0"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3"/>
      <c r="AN253" s="1545"/>
      <c r="AO253" s="1551"/>
      <c r="AP253" s="1549"/>
      <c r="AQ253" s="1551"/>
      <c r="AR253" s="1553"/>
      <c r="AS253" s="1555"/>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9"/>
      <c r="AW253" s="642" t="str">
        <f>IF('別紙様式2-2（４・５月分）'!O193="","",'別紙様式2-2（４・５月分）'!O193)</f>
        <v/>
      </c>
      <c r="AX253" s="1503"/>
      <c r="AY253" s="663"/>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2247</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2161</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84">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30"/>
      <c r="AW254" s="642" t="str">
        <f>IF('別紙様式2-2（４・５月分）'!O194="","",'別紙様式2-2（４・５月分）'!O194)</f>
        <v/>
      </c>
      <c r="AX254" s="1503">
        <f>SUM('別紙様式2-2（４・５月分）'!P194:P196)</f>
        <v>0</v>
      </c>
      <c r="AY254" s="1588" t="str">
        <f>IFERROR(VLOOKUP(K254,【参考】数式用!$AJ$2:$AK$24,2,FALSE),"")</f>
        <v/>
      </c>
      <c r="AZ254" s="576"/>
      <c r="BE254" s="420"/>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85"/>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4"/>
      <c r="AV255" s="1489"/>
      <c r="AW255" s="1514" t="str">
        <f>IF('別紙様式2-2（４・５月分）'!O195="","",'別紙様式2-2（４・５月分）'!O195)</f>
        <v/>
      </c>
      <c r="AX255" s="1503"/>
      <c r="AY255" s="1587"/>
      <c r="AZ255" s="513"/>
      <c r="BE255" s="420"/>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2" t="str">
        <f>IFERROR(IF(OR(N257="ベア加算",N257=""),"",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4"/>
      <c r="AV256" s="1489" t="str">
        <f t="shared" ref="AV256" si="295">IF(OR(AB254&lt;&gt;7,AD254&lt;&gt;3),"V列に色付け","")</f>
        <v/>
      </c>
      <c r="AW256" s="1514"/>
      <c r="AX256" s="1503"/>
      <c r="AY256" s="661"/>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0"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3"/>
      <c r="AN257" s="1545"/>
      <c r="AO257" s="1551"/>
      <c r="AP257" s="1549"/>
      <c r="AQ257" s="1551"/>
      <c r="AR257" s="1553"/>
      <c r="AS257" s="1555"/>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9"/>
      <c r="AW257" s="642" t="str">
        <f>IF('別紙様式2-2（４・５月分）'!O196="","",'別紙様式2-2（４・５月分）'!O196)</f>
        <v/>
      </c>
      <c r="AX257" s="1503"/>
      <c r="AY257" s="663"/>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2247</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2161</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84">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30"/>
      <c r="AW258" s="642" t="str">
        <f>IF('別紙様式2-2（４・５月分）'!O197="","",'別紙様式2-2（４・５月分）'!O197)</f>
        <v/>
      </c>
      <c r="AX258" s="1503">
        <f>SUM('別紙様式2-2（４・５月分）'!P197:P199)</f>
        <v>0</v>
      </c>
      <c r="AY258" s="1587" t="str">
        <f>IFERROR(VLOOKUP(K258,【参考】数式用!$AJ$2:$AK$24,2,FALSE),"")</f>
        <v/>
      </c>
      <c r="AZ258" s="576"/>
      <c r="BE258" s="420"/>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85"/>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4"/>
      <c r="AV259" s="1489"/>
      <c r="AW259" s="1514" t="str">
        <f>IF('別紙様式2-2（４・５月分）'!O198="","",'別紙様式2-2（４・５月分）'!O198)</f>
        <v/>
      </c>
      <c r="AX259" s="1503"/>
      <c r="AY259" s="1587"/>
      <c r="AZ259" s="513"/>
      <c r="BE259" s="420"/>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2" t="str">
        <f>IFERROR(IF(OR(N261="ベア加算",N261=""),"",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4"/>
      <c r="AV260" s="1489" t="str">
        <f t="shared" ref="AV260" si="300">IF(OR(AB258&lt;&gt;7,AD258&lt;&gt;3),"V列に色付け","")</f>
        <v/>
      </c>
      <c r="AW260" s="1514"/>
      <c r="AX260" s="1503"/>
      <c r="AY260" s="661"/>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0"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3"/>
      <c r="AN261" s="1545"/>
      <c r="AO261" s="1551"/>
      <c r="AP261" s="1549"/>
      <c r="AQ261" s="1551"/>
      <c r="AR261" s="1553"/>
      <c r="AS261" s="1555"/>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9"/>
      <c r="AW261" s="642" t="str">
        <f>IF('別紙様式2-2（４・５月分）'!O199="","",'別紙様式2-2（４・５月分）'!O199)</f>
        <v/>
      </c>
      <c r="AX261" s="1503"/>
      <c r="AY261" s="663"/>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2247</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2161</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84">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30"/>
      <c r="AW262" s="642" t="str">
        <f>IF('別紙様式2-2（４・５月分）'!O200="","",'別紙様式2-2（４・５月分）'!O200)</f>
        <v/>
      </c>
      <c r="AX262" s="1503">
        <f>SUM('別紙様式2-2（４・５月分）'!P200:P202)</f>
        <v>0</v>
      </c>
      <c r="AY262" s="1588" t="str">
        <f>IFERROR(VLOOKUP(K262,【参考】数式用!$AJ$2:$AK$24,2,FALSE),"")</f>
        <v/>
      </c>
      <c r="AZ262" s="576"/>
      <c r="BE262" s="420"/>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85"/>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4"/>
      <c r="AV263" s="1489"/>
      <c r="AW263" s="1514" t="str">
        <f>IF('別紙様式2-2（４・５月分）'!O201="","",'別紙様式2-2（４・５月分）'!O201)</f>
        <v/>
      </c>
      <c r="AX263" s="1503"/>
      <c r="AY263" s="1587"/>
      <c r="AZ263" s="513"/>
      <c r="BE263" s="420"/>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2" t="str">
        <f>IFERROR(IF(OR(N265="ベア加算",N265=""),"",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4"/>
      <c r="AV264" s="1489" t="str">
        <f t="shared" ref="AV264" si="305">IF(OR(AB262&lt;&gt;7,AD262&lt;&gt;3),"V列に色付け","")</f>
        <v/>
      </c>
      <c r="AW264" s="1514"/>
      <c r="AX264" s="1503"/>
      <c r="AY264" s="661"/>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0"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3"/>
      <c r="AN265" s="1545"/>
      <c r="AO265" s="1551"/>
      <c r="AP265" s="1549"/>
      <c r="AQ265" s="1551"/>
      <c r="AR265" s="1553"/>
      <c r="AS265" s="1555"/>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9"/>
      <c r="AW265" s="642" t="str">
        <f>IF('別紙様式2-2（４・５月分）'!O202="","",'別紙様式2-2（４・５月分）'!O202)</f>
        <v/>
      </c>
      <c r="AX265" s="1503"/>
      <c r="AY265" s="663"/>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2247</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2161</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84">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30"/>
      <c r="AW266" s="642" t="str">
        <f>IF('別紙様式2-2（４・５月分）'!O203="","",'別紙様式2-2（４・５月分）'!O203)</f>
        <v/>
      </c>
      <c r="AX266" s="1503">
        <f>SUM('別紙様式2-2（４・５月分）'!P203:P205)</f>
        <v>0</v>
      </c>
      <c r="AY266" s="1587" t="str">
        <f>IFERROR(VLOOKUP(K266,【参考】数式用!$AJ$2:$AK$24,2,FALSE),"")</f>
        <v/>
      </c>
      <c r="AZ266" s="576"/>
      <c r="BE266" s="420"/>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85"/>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4"/>
      <c r="AV267" s="1489"/>
      <c r="AW267" s="1514" t="str">
        <f>IF('別紙様式2-2（４・５月分）'!O204="","",'別紙様式2-2（４・５月分）'!O204)</f>
        <v/>
      </c>
      <c r="AX267" s="1503"/>
      <c r="AY267" s="1587"/>
      <c r="AZ267" s="513"/>
      <c r="BE267" s="420"/>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2" t="str">
        <f>IFERROR(IF(OR(N269="ベア加算",N269=""),"",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4"/>
      <c r="AV268" s="1489" t="str">
        <f t="shared" ref="AV268" si="310">IF(OR(AB266&lt;&gt;7,AD266&lt;&gt;3),"V列に色付け","")</f>
        <v/>
      </c>
      <c r="AW268" s="1514"/>
      <c r="AX268" s="1503"/>
      <c r="AY268" s="661"/>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0"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3"/>
      <c r="AN269" s="1545"/>
      <c r="AO269" s="1551"/>
      <c r="AP269" s="1549"/>
      <c r="AQ269" s="1551"/>
      <c r="AR269" s="1553"/>
      <c r="AS269" s="1555"/>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9"/>
      <c r="AW269" s="642" t="str">
        <f>IF('別紙様式2-2（４・５月分）'!O205="","",'別紙様式2-2（４・５月分）'!O205)</f>
        <v/>
      </c>
      <c r="AX269" s="1503"/>
      <c r="AY269" s="663"/>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2247</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2161</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84">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30"/>
      <c r="AW270" s="642" t="str">
        <f>IF('別紙様式2-2（４・５月分）'!O206="","",'別紙様式2-2（４・５月分）'!O206)</f>
        <v/>
      </c>
      <c r="AX270" s="1503">
        <f>SUM('別紙様式2-2（４・５月分）'!P206:P208)</f>
        <v>0</v>
      </c>
      <c r="AY270" s="1588" t="str">
        <f>IFERROR(VLOOKUP(K270,【参考】数式用!$AJ$2:$AK$24,2,FALSE),"")</f>
        <v/>
      </c>
      <c r="AZ270" s="576"/>
      <c r="BE270" s="420"/>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85"/>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4"/>
      <c r="AV271" s="1489"/>
      <c r="AW271" s="1514" t="str">
        <f>IF('別紙様式2-2（４・５月分）'!O207="","",'別紙様式2-2（４・５月分）'!O207)</f>
        <v/>
      </c>
      <c r="AX271" s="1503"/>
      <c r="AY271" s="1587"/>
      <c r="AZ271" s="513"/>
      <c r="BE271" s="420"/>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2" t="str">
        <f>IFERROR(IF(OR(N273="ベア加算",N273=""),"",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4"/>
      <c r="AV272" s="1489" t="str">
        <f t="shared" ref="AV272" si="315">IF(OR(AB270&lt;&gt;7,AD270&lt;&gt;3),"V列に色付け","")</f>
        <v/>
      </c>
      <c r="AW272" s="1514"/>
      <c r="AX272" s="1503"/>
      <c r="AY272" s="661"/>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0"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3"/>
      <c r="AN273" s="1545"/>
      <c r="AO273" s="1551"/>
      <c r="AP273" s="1549"/>
      <c r="AQ273" s="1551"/>
      <c r="AR273" s="1553"/>
      <c r="AS273" s="1555"/>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9"/>
      <c r="AW273" s="642" t="str">
        <f>IF('別紙様式2-2（４・５月分）'!O208="","",'別紙様式2-2（４・５月分）'!O208)</f>
        <v/>
      </c>
      <c r="AX273" s="1503"/>
      <c r="AY273" s="663"/>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2247</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2161</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84">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30"/>
      <c r="AW274" s="642" t="str">
        <f>IF('別紙様式2-2（４・５月分）'!O209="","",'別紙様式2-2（４・５月分）'!O209)</f>
        <v/>
      </c>
      <c r="AX274" s="1503">
        <f>SUM('別紙様式2-2（４・５月分）'!P209:P211)</f>
        <v>0</v>
      </c>
      <c r="AY274" s="1587" t="str">
        <f>IFERROR(VLOOKUP(K274,【参考】数式用!$AJ$2:$AK$24,2,FALSE),"")</f>
        <v/>
      </c>
      <c r="AZ274" s="576"/>
      <c r="BE274" s="420"/>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85"/>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4"/>
      <c r="AV275" s="1489"/>
      <c r="AW275" s="1514" t="str">
        <f>IF('別紙様式2-2（４・５月分）'!O210="","",'別紙様式2-2（４・５月分）'!O210)</f>
        <v/>
      </c>
      <c r="AX275" s="1503"/>
      <c r="AY275" s="1587"/>
      <c r="AZ275" s="513"/>
      <c r="BE275" s="420"/>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2" t="str">
        <f>IFERROR(IF(OR(N277="ベア加算",N277=""),"",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4"/>
      <c r="AV276" s="1489" t="str">
        <f t="shared" ref="AV276" si="320">IF(OR(AB274&lt;&gt;7,AD274&lt;&gt;3),"V列に色付け","")</f>
        <v/>
      </c>
      <c r="AW276" s="1514"/>
      <c r="AX276" s="1503"/>
      <c r="AY276" s="661"/>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0"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3"/>
      <c r="AN277" s="1545"/>
      <c r="AO277" s="1551"/>
      <c r="AP277" s="1549"/>
      <c r="AQ277" s="1551"/>
      <c r="AR277" s="1553"/>
      <c r="AS277" s="1555"/>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9"/>
      <c r="AW277" s="642" t="str">
        <f>IF('別紙様式2-2（４・５月分）'!O211="","",'別紙様式2-2（４・５月分）'!O211)</f>
        <v/>
      </c>
      <c r="AX277" s="1503"/>
      <c r="AY277" s="663"/>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2247</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2161</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84">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30"/>
      <c r="AW278" s="642" t="str">
        <f>IF('別紙様式2-2（４・５月分）'!O212="","",'別紙様式2-2（４・５月分）'!O212)</f>
        <v/>
      </c>
      <c r="AX278" s="1503">
        <f>SUM('別紙様式2-2（４・５月分）'!P212:P214)</f>
        <v>0</v>
      </c>
      <c r="AY278" s="1588" t="str">
        <f>IFERROR(VLOOKUP(K278,【参考】数式用!$AJ$2:$AK$24,2,FALSE),"")</f>
        <v/>
      </c>
      <c r="AZ278" s="576"/>
      <c r="BE278" s="420"/>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85"/>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4"/>
      <c r="AV279" s="1489"/>
      <c r="AW279" s="1514" t="str">
        <f>IF('別紙様式2-2（４・５月分）'!O213="","",'別紙様式2-2（４・５月分）'!O213)</f>
        <v/>
      </c>
      <c r="AX279" s="1503"/>
      <c r="AY279" s="1587"/>
      <c r="AZ279" s="513"/>
      <c r="BE279" s="420"/>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2" t="str">
        <f>IFERROR(IF(OR(N281="ベア加算",N281=""),"",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4"/>
      <c r="AV280" s="1489" t="str">
        <f t="shared" ref="AV280" si="325">IF(OR(AB278&lt;&gt;7,AD278&lt;&gt;3),"V列に色付け","")</f>
        <v/>
      </c>
      <c r="AW280" s="1514"/>
      <c r="AX280" s="1503"/>
      <c r="AY280" s="661"/>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0"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3"/>
      <c r="AN281" s="1545"/>
      <c r="AO281" s="1551"/>
      <c r="AP281" s="1549"/>
      <c r="AQ281" s="1551"/>
      <c r="AR281" s="1553"/>
      <c r="AS281" s="1555"/>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9"/>
      <c r="AW281" s="642" t="str">
        <f>IF('別紙様式2-2（４・５月分）'!O214="","",'別紙様式2-2（４・５月分）'!O214)</f>
        <v/>
      </c>
      <c r="AX281" s="1503"/>
      <c r="AY281" s="663"/>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2247</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2161</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84">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30"/>
      <c r="AW282" s="642" t="str">
        <f>IF('別紙様式2-2（４・５月分）'!O215="","",'別紙様式2-2（４・５月分）'!O215)</f>
        <v/>
      </c>
      <c r="AX282" s="1503">
        <f>SUM('別紙様式2-2（４・５月分）'!P215:P217)</f>
        <v>0</v>
      </c>
      <c r="AY282" s="1587" t="str">
        <f>IFERROR(VLOOKUP(K282,【参考】数式用!$AJ$2:$AK$24,2,FALSE),"")</f>
        <v/>
      </c>
      <c r="AZ282" s="576"/>
      <c r="BE282" s="420"/>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85"/>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4"/>
      <c r="AV283" s="1489"/>
      <c r="AW283" s="1514" t="str">
        <f>IF('別紙様式2-2（４・５月分）'!O216="","",'別紙様式2-2（４・５月分）'!O216)</f>
        <v/>
      </c>
      <c r="AX283" s="1503"/>
      <c r="AY283" s="1587"/>
      <c r="AZ283" s="513"/>
      <c r="BE283" s="420"/>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2" t="str">
        <f>IFERROR(IF(OR(N285="ベア加算",N285=""),"",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4"/>
      <c r="AV284" s="1489" t="str">
        <f t="shared" ref="AV284" si="330">IF(OR(AB282&lt;&gt;7,AD282&lt;&gt;3),"V列に色付け","")</f>
        <v/>
      </c>
      <c r="AW284" s="1514"/>
      <c r="AX284" s="1503"/>
      <c r="AY284" s="661"/>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0"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3"/>
      <c r="AN285" s="1545"/>
      <c r="AO285" s="1551"/>
      <c r="AP285" s="1549"/>
      <c r="AQ285" s="1551"/>
      <c r="AR285" s="1553"/>
      <c r="AS285" s="1555"/>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9"/>
      <c r="AW285" s="642" t="str">
        <f>IF('別紙様式2-2（４・５月分）'!O217="","",'別紙様式2-2（４・５月分）'!O217)</f>
        <v/>
      </c>
      <c r="AX285" s="1503"/>
      <c r="AY285" s="663"/>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2247</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2161</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84">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30"/>
      <c r="AW286" s="642" t="str">
        <f>IF('別紙様式2-2（４・５月分）'!O218="","",'別紙様式2-2（４・５月分）'!O218)</f>
        <v/>
      </c>
      <c r="AX286" s="1503">
        <f>SUM('別紙様式2-2（４・５月分）'!P218:P220)</f>
        <v>0</v>
      </c>
      <c r="AY286" s="1588" t="str">
        <f>IFERROR(VLOOKUP(K286,【参考】数式用!$AJ$2:$AK$24,2,FALSE),"")</f>
        <v/>
      </c>
      <c r="AZ286" s="576"/>
      <c r="BE286" s="420"/>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85"/>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4"/>
      <c r="AV287" s="1489"/>
      <c r="AW287" s="1514" t="str">
        <f>IF('別紙様式2-2（４・５月分）'!O219="","",'別紙様式2-2（４・５月分）'!O219)</f>
        <v/>
      </c>
      <c r="AX287" s="1503"/>
      <c r="AY287" s="1587"/>
      <c r="AZ287" s="513"/>
      <c r="BE287" s="420"/>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2" t="str">
        <f>IFERROR(IF(OR(N289="ベア加算",N289=""),"",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4"/>
      <c r="AV288" s="1489" t="str">
        <f t="shared" ref="AV288" si="335">IF(OR(AB286&lt;&gt;7,AD286&lt;&gt;3),"V列に色付け","")</f>
        <v/>
      </c>
      <c r="AW288" s="1514"/>
      <c r="AX288" s="1503"/>
      <c r="AY288" s="661"/>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0"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3"/>
      <c r="AN289" s="1545"/>
      <c r="AO289" s="1551"/>
      <c r="AP289" s="1549"/>
      <c r="AQ289" s="1551"/>
      <c r="AR289" s="1553"/>
      <c r="AS289" s="1555"/>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9"/>
      <c r="AW289" s="642" t="str">
        <f>IF('別紙様式2-2（４・５月分）'!O220="","",'別紙様式2-2（４・５月分）'!O220)</f>
        <v/>
      </c>
      <c r="AX289" s="1503"/>
      <c r="AY289" s="663"/>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2247</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2161</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84">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30"/>
      <c r="AW290" s="642" t="str">
        <f>IF('別紙様式2-2（４・５月分）'!O221="","",'別紙様式2-2（４・５月分）'!O221)</f>
        <v/>
      </c>
      <c r="AX290" s="1503">
        <f>SUM('別紙様式2-2（４・５月分）'!P221:P223)</f>
        <v>0</v>
      </c>
      <c r="AY290" s="1587" t="str">
        <f>IFERROR(VLOOKUP(K290,【参考】数式用!$AJ$2:$AK$24,2,FALSE),"")</f>
        <v/>
      </c>
      <c r="AZ290" s="576"/>
      <c r="BE290" s="420"/>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85"/>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4"/>
      <c r="AV291" s="1489"/>
      <c r="AW291" s="1514" t="str">
        <f>IF('別紙様式2-2（４・５月分）'!O222="","",'別紙様式2-2（４・５月分）'!O222)</f>
        <v/>
      </c>
      <c r="AX291" s="1503"/>
      <c r="AY291" s="1587"/>
      <c r="AZ291" s="513"/>
      <c r="BE291" s="420"/>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2" t="str">
        <f>IFERROR(IF(OR(N293="ベア加算",N293=""),"",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4"/>
      <c r="AV292" s="1489" t="str">
        <f t="shared" ref="AV292" si="340">IF(OR(AB290&lt;&gt;7,AD290&lt;&gt;3),"V列に色付け","")</f>
        <v/>
      </c>
      <c r="AW292" s="1514"/>
      <c r="AX292" s="1503"/>
      <c r="AY292" s="661"/>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0"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3"/>
      <c r="AN293" s="1545"/>
      <c r="AO293" s="1551"/>
      <c r="AP293" s="1549"/>
      <c r="AQ293" s="1551"/>
      <c r="AR293" s="1553"/>
      <c r="AS293" s="1555"/>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9"/>
      <c r="AW293" s="642" t="str">
        <f>IF('別紙様式2-2（４・５月分）'!O223="","",'別紙様式2-2（４・５月分）'!O223)</f>
        <v/>
      </c>
      <c r="AX293" s="1503"/>
      <c r="AY293" s="663"/>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2247</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2161</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84">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30"/>
      <c r="AW294" s="642" t="str">
        <f>IF('別紙様式2-2（４・５月分）'!O224="","",'別紙様式2-2（４・５月分）'!O224)</f>
        <v/>
      </c>
      <c r="AX294" s="1503">
        <f>SUM('別紙様式2-2（４・５月分）'!P224:P226)</f>
        <v>0</v>
      </c>
      <c r="AY294" s="1588" t="str">
        <f>IFERROR(VLOOKUP(K294,【参考】数式用!$AJ$2:$AK$24,2,FALSE),"")</f>
        <v/>
      </c>
      <c r="AZ294" s="576"/>
      <c r="BE294" s="420"/>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85"/>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4"/>
      <c r="AV295" s="1489"/>
      <c r="AW295" s="1514" t="str">
        <f>IF('別紙様式2-2（４・５月分）'!O225="","",'別紙様式2-2（４・５月分）'!O225)</f>
        <v/>
      </c>
      <c r="AX295" s="1503"/>
      <c r="AY295" s="1587"/>
      <c r="AZ295" s="513"/>
      <c r="BE295" s="420"/>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2" t="str">
        <f>IFERROR(IF(OR(N297="ベア加算",N297=""),"",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4"/>
      <c r="AV296" s="1489" t="str">
        <f t="shared" ref="AV296" si="345">IF(OR(AB294&lt;&gt;7,AD294&lt;&gt;3),"V列に色付け","")</f>
        <v/>
      </c>
      <c r="AW296" s="1514"/>
      <c r="AX296" s="1503"/>
      <c r="AY296" s="661"/>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0"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3"/>
      <c r="AN297" s="1545"/>
      <c r="AO297" s="1551"/>
      <c r="AP297" s="1549"/>
      <c r="AQ297" s="1551"/>
      <c r="AR297" s="1553"/>
      <c r="AS297" s="1555"/>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9"/>
      <c r="AW297" s="642" t="str">
        <f>IF('別紙様式2-2（４・５月分）'!O226="","",'別紙様式2-2（４・５月分）'!O226)</f>
        <v/>
      </c>
      <c r="AX297" s="1503"/>
      <c r="AY297" s="663"/>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2247</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2161</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84">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30"/>
      <c r="AW298" s="642" t="str">
        <f>IF('別紙様式2-2（４・５月分）'!O227="","",'別紙様式2-2（４・５月分）'!O227)</f>
        <v/>
      </c>
      <c r="AX298" s="1503">
        <f>SUM('別紙様式2-2（４・５月分）'!P227:P229)</f>
        <v>0</v>
      </c>
      <c r="AY298" s="1587" t="str">
        <f>IFERROR(VLOOKUP(K298,【参考】数式用!$AJ$2:$AK$24,2,FALSE),"")</f>
        <v/>
      </c>
      <c r="AZ298" s="576"/>
      <c r="BE298" s="420"/>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85"/>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4"/>
      <c r="AV299" s="1489"/>
      <c r="AW299" s="1514" t="str">
        <f>IF('別紙様式2-2（４・５月分）'!O228="","",'別紙様式2-2（４・５月分）'!O228)</f>
        <v/>
      </c>
      <c r="AX299" s="1503"/>
      <c r="AY299" s="1587"/>
      <c r="AZ299" s="513"/>
      <c r="BE299" s="420"/>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2" t="str">
        <f>IFERROR(IF(OR(N301="ベア加算",N301=""),"",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4"/>
      <c r="AV300" s="1489" t="str">
        <f t="shared" ref="AV300" si="350">IF(OR(AB298&lt;&gt;7,AD298&lt;&gt;3),"V列に色付け","")</f>
        <v/>
      </c>
      <c r="AW300" s="1514"/>
      <c r="AX300" s="1503"/>
      <c r="AY300" s="661"/>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0"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3"/>
      <c r="AN301" s="1545"/>
      <c r="AO301" s="1551"/>
      <c r="AP301" s="1549"/>
      <c r="AQ301" s="1551"/>
      <c r="AR301" s="1553"/>
      <c r="AS301" s="1555"/>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9"/>
      <c r="AW301" s="642" t="str">
        <f>IF('別紙様式2-2（４・５月分）'!O229="","",'別紙様式2-2（４・５月分）'!O229)</f>
        <v/>
      </c>
      <c r="AX301" s="1503"/>
      <c r="AY301" s="663"/>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2247</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2161</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84">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30"/>
      <c r="AW302" s="642" t="str">
        <f>IF('別紙様式2-2（４・５月分）'!O230="","",'別紙様式2-2（４・５月分）'!O230)</f>
        <v/>
      </c>
      <c r="AX302" s="1503">
        <f>SUM('別紙様式2-2（４・５月分）'!P230:P232)</f>
        <v>0</v>
      </c>
      <c r="AY302" s="1588" t="str">
        <f>IFERROR(VLOOKUP(K302,【参考】数式用!$AJ$2:$AK$24,2,FALSE),"")</f>
        <v/>
      </c>
      <c r="AZ302" s="576"/>
      <c r="BE302" s="420"/>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85"/>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4"/>
      <c r="AV303" s="1489"/>
      <c r="AW303" s="1514" t="str">
        <f>IF('別紙様式2-2（４・５月分）'!O231="","",'別紙様式2-2（４・５月分）'!O231)</f>
        <v/>
      </c>
      <c r="AX303" s="1503"/>
      <c r="AY303" s="1587"/>
      <c r="AZ303" s="513"/>
      <c r="BE303" s="420"/>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2" t="str">
        <f>IFERROR(IF(OR(N305="ベア加算",N305=""),"",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4"/>
      <c r="AV304" s="1489" t="str">
        <f t="shared" ref="AV304" si="355">IF(OR(AB302&lt;&gt;7,AD302&lt;&gt;3),"V列に色付け","")</f>
        <v/>
      </c>
      <c r="AW304" s="1514"/>
      <c r="AX304" s="1503"/>
      <c r="AY304" s="661"/>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0"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3"/>
      <c r="AN305" s="1545"/>
      <c r="AO305" s="1551"/>
      <c r="AP305" s="1549"/>
      <c r="AQ305" s="1551"/>
      <c r="AR305" s="1553"/>
      <c r="AS305" s="1555"/>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9"/>
      <c r="AW305" s="642" t="str">
        <f>IF('別紙様式2-2（４・５月分）'!O232="","",'別紙様式2-2（４・５月分）'!O232)</f>
        <v/>
      </c>
      <c r="AX305" s="1503"/>
      <c r="AY305" s="663"/>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2247</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2161</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84">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30"/>
      <c r="AW306" s="642" t="str">
        <f>IF('別紙様式2-2（４・５月分）'!O233="","",'別紙様式2-2（４・５月分）'!O233)</f>
        <v/>
      </c>
      <c r="AX306" s="1503">
        <f>SUM('別紙様式2-2（４・５月分）'!P233:P235)</f>
        <v>0</v>
      </c>
      <c r="AY306" s="1587" t="str">
        <f>IFERROR(VLOOKUP(K306,【参考】数式用!$AJ$2:$AK$24,2,FALSE),"")</f>
        <v/>
      </c>
      <c r="AZ306" s="576"/>
      <c r="BE306" s="420"/>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85"/>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4"/>
      <c r="AV307" s="1489"/>
      <c r="AW307" s="1514" t="str">
        <f>IF('別紙様式2-2（４・５月分）'!O234="","",'別紙様式2-2（４・５月分）'!O234)</f>
        <v/>
      </c>
      <c r="AX307" s="1503"/>
      <c r="AY307" s="1587"/>
      <c r="AZ307" s="513"/>
      <c r="BE307" s="420"/>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2" t="str">
        <f>IFERROR(IF(OR(N309="ベア加算",N309=""),"",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4"/>
      <c r="AV308" s="1489" t="str">
        <f t="shared" ref="AV308" si="360">IF(OR(AB306&lt;&gt;7,AD306&lt;&gt;3),"V列に色付け","")</f>
        <v/>
      </c>
      <c r="AW308" s="1514"/>
      <c r="AX308" s="1503"/>
      <c r="AY308" s="661"/>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0"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3"/>
      <c r="AN309" s="1545"/>
      <c r="AO309" s="1551"/>
      <c r="AP309" s="1549"/>
      <c r="AQ309" s="1551"/>
      <c r="AR309" s="1553"/>
      <c r="AS309" s="1555"/>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9"/>
      <c r="AW309" s="642" t="str">
        <f>IF('別紙様式2-2（４・５月分）'!O235="","",'別紙様式2-2（４・５月分）'!O235)</f>
        <v/>
      </c>
      <c r="AX309" s="1503"/>
      <c r="AY309" s="663"/>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2247</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2161</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84">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30"/>
      <c r="AW310" s="642" t="str">
        <f>IF('別紙様式2-2（４・５月分）'!O236="","",'別紙様式2-2（４・５月分）'!O236)</f>
        <v/>
      </c>
      <c r="AX310" s="1503">
        <f>SUM('別紙様式2-2（４・５月分）'!P236:P238)</f>
        <v>0</v>
      </c>
      <c r="AY310" s="1588" t="str">
        <f>IFERROR(VLOOKUP(K310,【参考】数式用!$AJ$2:$AK$24,2,FALSE),"")</f>
        <v/>
      </c>
      <c r="AZ310" s="576"/>
      <c r="BE310" s="420"/>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85"/>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4"/>
      <c r="AV311" s="1489"/>
      <c r="AW311" s="1514" t="str">
        <f>IF('別紙様式2-2（４・５月分）'!O237="","",'別紙様式2-2（４・５月分）'!O237)</f>
        <v/>
      </c>
      <c r="AX311" s="1503"/>
      <c r="AY311" s="1587"/>
      <c r="AZ311" s="513"/>
      <c r="BE311" s="420"/>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2" t="str">
        <f>IFERROR(IF(OR(N313="ベア加算",N313=""),"",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4"/>
      <c r="AV312" s="1489" t="str">
        <f t="shared" ref="AV312" si="365">IF(OR(AB310&lt;&gt;7,AD310&lt;&gt;3),"V列に色付け","")</f>
        <v/>
      </c>
      <c r="AW312" s="1514"/>
      <c r="AX312" s="1503"/>
      <c r="AY312" s="661"/>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0"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3"/>
      <c r="AN313" s="1545"/>
      <c r="AO313" s="1551"/>
      <c r="AP313" s="1549"/>
      <c r="AQ313" s="1551"/>
      <c r="AR313" s="1553"/>
      <c r="AS313" s="1555"/>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9"/>
      <c r="AW313" s="642" t="str">
        <f>IF('別紙様式2-2（４・５月分）'!O238="","",'別紙様式2-2（４・５月分）'!O238)</f>
        <v/>
      </c>
      <c r="AX313" s="1503"/>
      <c r="AY313" s="663"/>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2247</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2161</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84">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30"/>
      <c r="AW314" s="642" t="str">
        <f>IF('別紙様式2-2（４・５月分）'!O239="","",'別紙様式2-2（４・５月分）'!O239)</f>
        <v/>
      </c>
      <c r="AX314" s="1503">
        <f>SUM('別紙様式2-2（４・５月分）'!P239:P241)</f>
        <v>0</v>
      </c>
      <c r="AY314" s="1587" t="str">
        <f>IFERROR(VLOOKUP(K314,【参考】数式用!$AJ$2:$AK$24,2,FALSE),"")</f>
        <v/>
      </c>
      <c r="AZ314" s="576"/>
      <c r="BE314" s="420"/>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85"/>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4"/>
      <c r="AV315" s="1489"/>
      <c r="AW315" s="1514" t="str">
        <f>IF('別紙様式2-2（４・５月分）'!O240="","",'別紙様式2-2（４・５月分）'!O240)</f>
        <v/>
      </c>
      <c r="AX315" s="1503"/>
      <c r="AY315" s="1587"/>
      <c r="AZ315" s="513"/>
      <c r="BE315" s="420"/>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2" t="str">
        <f>IFERROR(IF(OR(N317="ベア加算",N317=""),"",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4"/>
      <c r="AV316" s="1489" t="str">
        <f t="shared" ref="AV316" si="370">IF(OR(AB314&lt;&gt;7,AD314&lt;&gt;3),"V列に色付け","")</f>
        <v/>
      </c>
      <c r="AW316" s="1514"/>
      <c r="AX316" s="1503"/>
      <c r="AY316" s="661"/>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0"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3"/>
      <c r="AN317" s="1545"/>
      <c r="AO317" s="1551"/>
      <c r="AP317" s="1549"/>
      <c r="AQ317" s="1551"/>
      <c r="AR317" s="1553"/>
      <c r="AS317" s="1555"/>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9"/>
      <c r="AW317" s="642" t="str">
        <f>IF('別紙様式2-2（４・５月分）'!O241="","",'別紙様式2-2（４・５月分）'!O241)</f>
        <v/>
      </c>
      <c r="AX317" s="1503"/>
      <c r="AY317" s="663"/>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2247</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2161</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84">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30"/>
      <c r="AW318" s="642" t="str">
        <f>IF('別紙様式2-2（４・５月分）'!O242="","",'別紙様式2-2（４・５月分）'!O242)</f>
        <v/>
      </c>
      <c r="AX318" s="1503">
        <f>SUM('別紙様式2-2（４・５月分）'!P242:P244)</f>
        <v>0</v>
      </c>
      <c r="AY318" s="1588" t="str">
        <f>IFERROR(VLOOKUP(K318,【参考】数式用!$AJ$2:$AK$24,2,FALSE),"")</f>
        <v/>
      </c>
      <c r="AZ318" s="576"/>
      <c r="BE318" s="420"/>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85"/>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4"/>
      <c r="AV319" s="1489"/>
      <c r="AW319" s="1514" t="str">
        <f>IF('別紙様式2-2（４・５月分）'!O243="","",'別紙様式2-2（４・５月分）'!O243)</f>
        <v/>
      </c>
      <c r="AX319" s="1503"/>
      <c r="AY319" s="1587"/>
      <c r="AZ319" s="513"/>
      <c r="BE319" s="420"/>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2" t="str">
        <f>IFERROR(IF(OR(N321="ベア加算",N321=""),"",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4"/>
      <c r="AV320" s="1489" t="str">
        <f t="shared" ref="AV320" si="375">IF(OR(AB318&lt;&gt;7,AD318&lt;&gt;3),"V列に色付け","")</f>
        <v/>
      </c>
      <c r="AW320" s="1514"/>
      <c r="AX320" s="1503"/>
      <c r="AY320" s="661"/>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0"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3"/>
      <c r="AN321" s="1545"/>
      <c r="AO321" s="1551"/>
      <c r="AP321" s="1549"/>
      <c r="AQ321" s="1551"/>
      <c r="AR321" s="1553"/>
      <c r="AS321" s="1555"/>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9"/>
      <c r="AW321" s="642" t="str">
        <f>IF('別紙様式2-2（４・５月分）'!O244="","",'別紙様式2-2（４・５月分）'!O244)</f>
        <v/>
      </c>
      <c r="AX321" s="1503"/>
      <c r="AY321" s="663"/>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2247</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2161</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84">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30"/>
      <c r="AW322" s="642" t="str">
        <f>IF('別紙様式2-2（４・５月分）'!O245="","",'別紙様式2-2（４・５月分）'!O245)</f>
        <v/>
      </c>
      <c r="AX322" s="1503">
        <f>SUM('別紙様式2-2（４・５月分）'!P245:P247)</f>
        <v>0</v>
      </c>
      <c r="AY322" s="1587" t="str">
        <f>IFERROR(VLOOKUP(K322,【参考】数式用!$AJ$2:$AK$24,2,FALSE),"")</f>
        <v/>
      </c>
      <c r="AZ322" s="576"/>
      <c r="BE322" s="420"/>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85"/>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4"/>
      <c r="AV323" s="1489"/>
      <c r="AW323" s="1514" t="str">
        <f>IF('別紙様式2-2（４・５月分）'!O246="","",'別紙様式2-2（４・５月分）'!O246)</f>
        <v/>
      </c>
      <c r="AX323" s="1503"/>
      <c r="AY323" s="1587"/>
      <c r="AZ323" s="513"/>
      <c r="BE323" s="420"/>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2" t="str">
        <f>IFERROR(IF(OR(N325="ベア加算",N325=""),"",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4"/>
      <c r="AV324" s="1489" t="str">
        <f t="shared" ref="AV324" si="380">IF(OR(AB322&lt;&gt;7,AD322&lt;&gt;3),"V列に色付け","")</f>
        <v/>
      </c>
      <c r="AW324" s="1514"/>
      <c r="AX324" s="1503"/>
      <c r="AY324" s="661"/>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0"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3"/>
      <c r="AN325" s="1545"/>
      <c r="AO325" s="1551"/>
      <c r="AP325" s="1549"/>
      <c r="AQ325" s="1551"/>
      <c r="AR325" s="1553"/>
      <c r="AS325" s="1555"/>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9"/>
      <c r="AW325" s="642" t="str">
        <f>IF('別紙様式2-2（４・５月分）'!O247="","",'別紙様式2-2（４・５月分）'!O247)</f>
        <v/>
      </c>
      <c r="AX325" s="1503"/>
      <c r="AY325" s="663"/>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2247</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2161</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84">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30"/>
      <c r="AW326" s="642" t="str">
        <f>IF('別紙様式2-2（４・５月分）'!O248="","",'別紙様式2-2（４・５月分）'!O248)</f>
        <v/>
      </c>
      <c r="AX326" s="1503">
        <f>SUM('別紙様式2-2（４・５月分）'!P248:P250)</f>
        <v>0</v>
      </c>
      <c r="AY326" s="1588" t="str">
        <f>IFERROR(VLOOKUP(K326,【参考】数式用!$AJ$2:$AK$24,2,FALSE),"")</f>
        <v/>
      </c>
      <c r="AZ326" s="576"/>
      <c r="BE326" s="420"/>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85"/>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4"/>
      <c r="AV327" s="1489"/>
      <c r="AW327" s="1514" t="str">
        <f>IF('別紙様式2-2（４・５月分）'!O249="","",'別紙様式2-2（４・５月分）'!O249)</f>
        <v/>
      </c>
      <c r="AX327" s="1503"/>
      <c r="AY327" s="1587"/>
      <c r="AZ327" s="513"/>
      <c r="BE327" s="420"/>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2" t="str">
        <f>IFERROR(IF(OR(N329="ベア加算",N329=""),"",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4"/>
      <c r="AV328" s="1489" t="str">
        <f t="shared" ref="AV328" si="385">IF(OR(AB326&lt;&gt;7,AD326&lt;&gt;3),"V列に色付け","")</f>
        <v/>
      </c>
      <c r="AW328" s="1514"/>
      <c r="AX328" s="1503"/>
      <c r="AY328" s="661"/>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0"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3"/>
      <c r="AN329" s="1545"/>
      <c r="AO329" s="1551"/>
      <c r="AP329" s="1549"/>
      <c r="AQ329" s="1551"/>
      <c r="AR329" s="1553"/>
      <c r="AS329" s="1555"/>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9"/>
      <c r="AW329" s="642" t="str">
        <f>IF('別紙様式2-2（４・５月分）'!O250="","",'別紙様式2-2（４・５月分）'!O250)</f>
        <v/>
      </c>
      <c r="AX329" s="1503"/>
      <c r="AY329" s="663"/>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2247</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2161</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84">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30"/>
      <c r="AW330" s="642" t="str">
        <f>IF('別紙様式2-2（４・５月分）'!O251="","",'別紙様式2-2（４・５月分）'!O251)</f>
        <v/>
      </c>
      <c r="AX330" s="1503">
        <f>SUM('別紙様式2-2（４・５月分）'!P251:P253)</f>
        <v>0</v>
      </c>
      <c r="AY330" s="1587" t="str">
        <f>IFERROR(VLOOKUP(K330,【参考】数式用!$AJ$2:$AK$24,2,FALSE),"")</f>
        <v/>
      </c>
      <c r="AZ330" s="576"/>
      <c r="BE330" s="420"/>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85"/>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4"/>
      <c r="AV331" s="1489"/>
      <c r="AW331" s="1514" t="str">
        <f>IF('別紙様式2-2（４・５月分）'!O252="","",'別紙様式2-2（４・５月分）'!O252)</f>
        <v/>
      </c>
      <c r="AX331" s="1503"/>
      <c r="AY331" s="1587"/>
      <c r="AZ331" s="513"/>
      <c r="BE331" s="420"/>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2" t="str">
        <f>IFERROR(IF(OR(N333="ベア加算",N333=""),"",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4"/>
      <c r="AV332" s="1489" t="str">
        <f t="shared" ref="AV332" si="390">IF(OR(AB330&lt;&gt;7,AD330&lt;&gt;3),"V列に色付け","")</f>
        <v/>
      </c>
      <c r="AW332" s="1514"/>
      <c r="AX332" s="1503"/>
      <c r="AY332" s="661"/>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0"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3"/>
      <c r="AN333" s="1545"/>
      <c r="AO333" s="1551"/>
      <c r="AP333" s="1549"/>
      <c r="AQ333" s="1551"/>
      <c r="AR333" s="1553"/>
      <c r="AS333" s="1555"/>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9"/>
      <c r="AW333" s="642" t="str">
        <f>IF('別紙様式2-2（４・５月分）'!O253="","",'別紙様式2-2（４・５月分）'!O253)</f>
        <v/>
      </c>
      <c r="AX333" s="1503"/>
      <c r="AY333" s="663"/>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2247</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2161</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84">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30"/>
      <c r="AW334" s="642" t="str">
        <f>IF('別紙様式2-2（４・５月分）'!O254="","",'別紙様式2-2（４・５月分）'!O254)</f>
        <v/>
      </c>
      <c r="AX334" s="1503">
        <f>SUM('別紙様式2-2（４・５月分）'!P254:P256)</f>
        <v>0</v>
      </c>
      <c r="AY334" s="1588" t="str">
        <f>IFERROR(VLOOKUP(K334,【参考】数式用!$AJ$2:$AK$24,2,FALSE),"")</f>
        <v/>
      </c>
      <c r="AZ334" s="576"/>
      <c r="BE334" s="420"/>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85"/>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4"/>
      <c r="AV335" s="1489"/>
      <c r="AW335" s="1514" t="str">
        <f>IF('別紙様式2-2（４・５月分）'!O255="","",'別紙様式2-2（４・５月分）'!O255)</f>
        <v/>
      </c>
      <c r="AX335" s="1503"/>
      <c r="AY335" s="1587"/>
      <c r="AZ335" s="513"/>
      <c r="BE335" s="420"/>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2" t="str">
        <f>IFERROR(IF(OR(N337="ベア加算",N337=""),"",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4"/>
      <c r="AV336" s="1489" t="str">
        <f t="shared" ref="AV336" si="395">IF(OR(AB334&lt;&gt;7,AD334&lt;&gt;3),"V列に色付け","")</f>
        <v/>
      </c>
      <c r="AW336" s="1514"/>
      <c r="AX336" s="1503"/>
      <c r="AY336" s="661"/>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0"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3"/>
      <c r="AN337" s="1545"/>
      <c r="AO337" s="1551"/>
      <c r="AP337" s="1549"/>
      <c r="AQ337" s="1551"/>
      <c r="AR337" s="1553"/>
      <c r="AS337" s="1555"/>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9"/>
      <c r="AW337" s="642" t="str">
        <f>IF('別紙様式2-2（４・５月分）'!O256="","",'別紙様式2-2（４・５月分）'!O256)</f>
        <v/>
      </c>
      <c r="AX337" s="1503"/>
      <c r="AY337" s="663"/>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2247</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2161</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84">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30"/>
      <c r="AW338" s="642" t="str">
        <f>IF('別紙様式2-2（４・５月分）'!O257="","",'別紙様式2-2（４・５月分）'!O257)</f>
        <v/>
      </c>
      <c r="AX338" s="1503">
        <f>SUM('別紙様式2-2（４・５月分）'!P257:P259)</f>
        <v>0</v>
      </c>
      <c r="AY338" s="1587" t="str">
        <f>IFERROR(VLOOKUP(K338,【参考】数式用!$AJ$2:$AK$24,2,FALSE),"")</f>
        <v/>
      </c>
      <c r="AZ338" s="576"/>
      <c r="BE338" s="420"/>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85"/>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4"/>
      <c r="AV339" s="1489"/>
      <c r="AW339" s="1514" t="str">
        <f>IF('別紙様式2-2（４・５月分）'!O258="","",'別紙様式2-2（４・５月分）'!O258)</f>
        <v/>
      </c>
      <c r="AX339" s="1503"/>
      <c r="AY339" s="1587"/>
      <c r="AZ339" s="513"/>
      <c r="BE339" s="420"/>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2" t="str">
        <f>IFERROR(IF(OR(N341="ベア加算",N341=""),"",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4"/>
      <c r="AV340" s="1489" t="str">
        <f t="shared" ref="AV340" si="400">IF(OR(AB338&lt;&gt;7,AD338&lt;&gt;3),"V列に色付け","")</f>
        <v/>
      </c>
      <c r="AW340" s="1514"/>
      <c r="AX340" s="1503"/>
      <c r="AY340" s="661"/>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0"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3"/>
      <c r="AN341" s="1545"/>
      <c r="AO341" s="1551"/>
      <c r="AP341" s="1549"/>
      <c r="AQ341" s="1551"/>
      <c r="AR341" s="1553"/>
      <c r="AS341" s="1555"/>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9"/>
      <c r="AW341" s="642" t="str">
        <f>IF('別紙様式2-2（４・５月分）'!O259="","",'別紙様式2-2（４・５月分）'!O259)</f>
        <v/>
      </c>
      <c r="AX341" s="1503"/>
      <c r="AY341" s="663"/>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2247</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2161</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84">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30"/>
      <c r="AW342" s="642" t="str">
        <f>IF('別紙様式2-2（４・５月分）'!O260="","",'別紙様式2-2（４・５月分）'!O260)</f>
        <v/>
      </c>
      <c r="AX342" s="1503">
        <f>SUM('別紙様式2-2（４・５月分）'!P260:P262)</f>
        <v>0</v>
      </c>
      <c r="AY342" s="1588" t="str">
        <f>IFERROR(VLOOKUP(K342,【参考】数式用!$AJ$2:$AK$24,2,FALSE),"")</f>
        <v/>
      </c>
      <c r="AZ342" s="576"/>
      <c r="BE342" s="420"/>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85"/>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4"/>
      <c r="AV343" s="1489"/>
      <c r="AW343" s="1514" t="str">
        <f>IF('別紙様式2-2（４・５月分）'!O261="","",'別紙様式2-2（４・５月分）'!O261)</f>
        <v/>
      </c>
      <c r="AX343" s="1503"/>
      <c r="AY343" s="1587"/>
      <c r="AZ343" s="513"/>
      <c r="BE343" s="420"/>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2" t="str">
        <f>IFERROR(IF(OR(N345="ベア加算",N345=""),"",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4"/>
      <c r="AV344" s="1489" t="str">
        <f t="shared" ref="AV344" si="405">IF(OR(AB342&lt;&gt;7,AD342&lt;&gt;3),"V列に色付け","")</f>
        <v/>
      </c>
      <c r="AW344" s="1514"/>
      <c r="AX344" s="1503"/>
      <c r="AY344" s="661"/>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0"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3"/>
      <c r="AN345" s="1545"/>
      <c r="AO345" s="1551"/>
      <c r="AP345" s="1549"/>
      <c r="AQ345" s="1551"/>
      <c r="AR345" s="1553"/>
      <c r="AS345" s="1555"/>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9"/>
      <c r="AW345" s="642" t="str">
        <f>IF('別紙様式2-2（４・５月分）'!O262="","",'別紙様式2-2（４・５月分）'!O262)</f>
        <v/>
      </c>
      <c r="AX345" s="1503"/>
      <c r="AY345" s="663"/>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2247</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2161</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84">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30"/>
      <c r="AW346" s="642" t="str">
        <f>IF('別紙様式2-2（４・５月分）'!O263="","",'別紙様式2-2（４・５月分）'!O263)</f>
        <v/>
      </c>
      <c r="AX346" s="1503">
        <f>SUM('別紙様式2-2（４・５月分）'!P263:P265)</f>
        <v>0</v>
      </c>
      <c r="AY346" s="1587" t="str">
        <f>IFERROR(VLOOKUP(K346,【参考】数式用!$AJ$2:$AK$24,2,FALSE),"")</f>
        <v/>
      </c>
      <c r="AZ346" s="576"/>
      <c r="BE346" s="420"/>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85"/>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4"/>
      <c r="AV347" s="1489"/>
      <c r="AW347" s="1514" t="str">
        <f>IF('別紙様式2-2（４・５月分）'!O264="","",'別紙様式2-2（４・５月分）'!O264)</f>
        <v/>
      </c>
      <c r="AX347" s="1503"/>
      <c r="AY347" s="1587"/>
      <c r="AZ347" s="513"/>
      <c r="BE347" s="420"/>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2" t="str">
        <f>IFERROR(IF(OR(N349="ベア加算",N349=""),"",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4"/>
      <c r="AV348" s="1489" t="str">
        <f t="shared" ref="AV348" si="410">IF(OR(AB346&lt;&gt;7,AD346&lt;&gt;3),"V列に色付け","")</f>
        <v/>
      </c>
      <c r="AW348" s="1514"/>
      <c r="AX348" s="1503"/>
      <c r="AY348" s="661"/>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0"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3"/>
      <c r="AN349" s="1545"/>
      <c r="AO349" s="1551"/>
      <c r="AP349" s="1549"/>
      <c r="AQ349" s="1551"/>
      <c r="AR349" s="1553"/>
      <c r="AS349" s="1555"/>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9"/>
      <c r="AW349" s="642" t="str">
        <f>IF('別紙様式2-2（４・５月分）'!O265="","",'別紙様式2-2（４・５月分）'!O265)</f>
        <v/>
      </c>
      <c r="AX349" s="1503"/>
      <c r="AY349" s="663"/>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2247</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2161</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84">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30"/>
      <c r="AW350" s="642" t="str">
        <f>IF('別紙様式2-2（４・５月分）'!O266="","",'別紙様式2-2（４・５月分）'!O266)</f>
        <v/>
      </c>
      <c r="AX350" s="1503">
        <f>SUM('別紙様式2-2（４・５月分）'!P266:P268)</f>
        <v>0</v>
      </c>
      <c r="AY350" s="1588" t="str">
        <f>IFERROR(VLOOKUP(K350,【参考】数式用!$AJ$2:$AK$24,2,FALSE),"")</f>
        <v/>
      </c>
      <c r="AZ350" s="576"/>
      <c r="BE350" s="420"/>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85"/>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4"/>
      <c r="AV351" s="1489"/>
      <c r="AW351" s="1514" t="str">
        <f>IF('別紙様式2-2（４・５月分）'!O267="","",'別紙様式2-2（４・５月分）'!O267)</f>
        <v/>
      </c>
      <c r="AX351" s="1503"/>
      <c r="AY351" s="1587"/>
      <c r="AZ351" s="513"/>
      <c r="BE351" s="420"/>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2" t="str">
        <f>IFERROR(IF(OR(N353="ベア加算",N353=""),"",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4"/>
      <c r="AV352" s="1489" t="str">
        <f t="shared" ref="AV352" si="415">IF(OR(AB350&lt;&gt;7,AD350&lt;&gt;3),"V列に色付け","")</f>
        <v/>
      </c>
      <c r="AW352" s="1514"/>
      <c r="AX352" s="1503"/>
      <c r="AY352" s="661"/>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0"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3"/>
      <c r="AN353" s="1545"/>
      <c r="AO353" s="1551"/>
      <c r="AP353" s="1549"/>
      <c r="AQ353" s="1551"/>
      <c r="AR353" s="1553"/>
      <c r="AS353" s="1555"/>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9"/>
      <c r="AW353" s="642" t="str">
        <f>IF('別紙様式2-2（４・５月分）'!O268="","",'別紙様式2-2（４・５月分）'!O268)</f>
        <v/>
      </c>
      <c r="AX353" s="1503"/>
      <c r="AY353" s="663"/>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2247</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2161</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84">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30"/>
      <c r="AW354" s="642" t="str">
        <f>IF('別紙様式2-2（４・５月分）'!O269="","",'別紙様式2-2（４・５月分）'!O269)</f>
        <v/>
      </c>
      <c r="AX354" s="1503">
        <f>SUM('別紙様式2-2（４・５月分）'!P269:P271)</f>
        <v>0</v>
      </c>
      <c r="AY354" s="1587" t="str">
        <f>IFERROR(VLOOKUP(K354,【参考】数式用!$AJ$2:$AK$24,2,FALSE),"")</f>
        <v/>
      </c>
      <c r="AZ354" s="576"/>
      <c r="BE354" s="420"/>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85"/>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4"/>
      <c r="AV355" s="1489"/>
      <c r="AW355" s="1514" t="str">
        <f>IF('別紙様式2-2（４・５月分）'!O270="","",'別紙様式2-2（４・５月分）'!O270)</f>
        <v/>
      </c>
      <c r="AX355" s="1503"/>
      <c r="AY355" s="1587"/>
      <c r="AZ355" s="513"/>
      <c r="BE355" s="420"/>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2" t="str">
        <f>IFERROR(IF(OR(N357="ベア加算",N357=""),"",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4"/>
      <c r="AV356" s="1489" t="str">
        <f t="shared" ref="AV356" si="420">IF(OR(AB354&lt;&gt;7,AD354&lt;&gt;3),"V列に色付け","")</f>
        <v/>
      </c>
      <c r="AW356" s="1514"/>
      <c r="AX356" s="1503"/>
      <c r="AY356" s="661"/>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0"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3"/>
      <c r="AN357" s="1545"/>
      <c r="AO357" s="1551"/>
      <c r="AP357" s="1549"/>
      <c r="AQ357" s="1551"/>
      <c r="AR357" s="1553"/>
      <c r="AS357" s="1555"/>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9"/>
      <c r="AW357" s="642" t="str">
        <f>IF('別紙様式2-2（４・５月分）'!O271="","",'別紙様式2-2（４・５月分）'!O271)</f>
        <v/>
      </c>
      <c r="AX357" s="1503"/>
      <c r="AY357" s="663"/>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2247</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2161</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84">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30"/>
      <c r="AW358" s="642" t="str">
        <f>IF('別紙様式2-2（４・５月分）'!O272="","",'別紙様式2-2（４・５月分）'!O272)</f>
        <v/>
      </c>
      <c r="AX358" s="1503">
        <f>SUM('別紙様式2-2（４・５月分）'!P272:P274)</f>
        <v>0</v>
      </c>
      <c r="AY358" s="1588" t="str">
        <f>IFERROR(VLOOKUP(K358,【参考】数式用!$AJ$2:$AK$24,2,FALSE),"")</f>
        <v/>
      </c>
      <c r="AZ358" s="576"/>
      <c r="BE358" s="420"/>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85"/>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4"/>
      <c r="AV359" s="1489"/>
      <c r="AW359" s="1514" t="str">
        <f>IF('別紙様式2-2（４・５月分）'!O273="","",'別紙様式2-2（４・５月分）'!O273)</f>
        <v/>
      </c>
      <c r="AX359" s="1503"/>
      <c r="AY359" s="1587"/>
      <c r="AZ359" s="513"/>
      <c r="BE359" s="420"/>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2" t="str">
        <f>IFERROR(IF(OR(N361="ベア加算",N361=""),"",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4"/>
      <c r="AV360" s="1489" t="str">
        <f t="shared" ref="AV360" si="425">IF(OR(AB358&lt;&gt;7,AD358&lt;&gt;3),"V列に色付け","")</f>
        <v/>
      </c>
      <c r="AW360" s="1514"/>
      <c r="AX360" s="1503"/>
      <c r="AY360" s="661"/>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0"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3"/>
      <c r="AN361" s="1545"/>
      <c r="AO361" s="1551"/>
      <c r="AP361" s="1549"/>
      <c r="AQ361" s="1551"/>
      <c r="AR361" s="1553"/>
      <c r="AS361" s="1555"/>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9"/>
      <c r="AW361" s="642" t="str">
        <f>IF('別紙様式2-2（４・５月分）'!O274="","",'別紙様式2-2（４・５月分）'!O274)</f>
        <v/>
      </c>
      <c r="AX361" s="1503"/>
      <c r="AY361" s="663"/>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2247</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2161</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84">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30"/>
      <c r="AW362" s="642" t="str">
        <f>IF('別紙様式2-2（４・５月分）'!O275="","",'別紙様式2-2（４・５月分）'!O275)</f>
        <v/>
      </c>
      <c r="AX362" s="1503">
        <f>SUM('別紙様式2-2（４・５月分）'!P275:P277)</f>
        <v>0</v>
      </c>
      <c r="AY362" s="1587" t="str">
        <f>IFERROR(VLOOKUP(K362,【参考】数式用!$AJ$2:$AK$24,2,FALSE),"")</f>
        <v/>
      </c>
      <c r="AZ362" s="576"/>
      <c r="BE362" s="420"/>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85"/>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4"/>
      <c r="AV363" s="1489"/>
      <c r="AW363" s="1514" t="str">
        <f>IF('別紙様式2-2（４・５月分）'!O276="","",'別紙様式2-2（４・５月分）'!O276)</f>
        <v/>
      </c>
      <c r="AX363" s="1503"/>
      <c r="AY363" s="1587"/>
      <c r="AZ363" s="513"/>
      <c r="BE363" s="420"/>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2" t="str">
        <f>IFERROR(IF(OR(N365="ベア加算",N365=""),"",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4"/>
      <c r="AV364" s="1489" t="str">
        <f t="shared" ref="AV364" si="430">IF(OR(AB362&lt;&gt;7,AD362&lt;&gt;3),"V列に色付け","")</f>
        <v/>
      </c>
      <c r="AW364" s="1514"/>
      <c r="AX364" s="1503"/>
      <c r="AY364" s="661"/>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0"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3"/>
      <c r="AN365" s="1545"/>
      <c r="AO365" s="1551"/>
      <c r="AP365" s="1549"/>
      <c r="AQ365" s="1551"/>
      <c r="AR365" s="1553"/>
      <c r="AS365" s="1555"/>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9"/>
      <c r="AW365" s="642" t="str">
        <f>IF('別紙様式2-2（４・５月分）'!O277="","",'別紙様式2-2（４・５月分）'!O277)</f>
        <v/>
      </c>
      <c r="AX365" s="1503"/>
      <c r="AY365" s="663"/>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2247</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2161</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84">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30"/>
      <c r="AW366" s="642" t="str">
        <f>IF('別紙様式2-2（４・５月分）'!O278="","",'別紙様式2-2（４・５月分）'!O278)</f>
        <v/>
      </c>
      <c r="AX366" s="1503">
        <f>SUM('別紙様式2-2（４・５月分）'!P278:P280)</f>
        <v>0</v>
      </c>
      <c r="AY366" s="1588" t="str">
        <f>IFERROR(VLOOKUP(K366,【参考】数式用!$AJ$2:$AK$24,2,FALSE),"")</f>
        <v/>
      </c>
      <c r="AZ366" s="576"/>
      <c r="BE366" s="420"/>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85"/>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4"/>
      <c r="AV367" s="1489"/>
      <c r="AW367" s="1514" t="str">
        <f>IF('別紙様式2-2（４・５月分）'!O279="","",'別紙様式2-2（４・５月分）'!O279)</f>
        <v/>
      </c>
      <c r="AX367" s="1503"/>
      <c r="AY367" s="1587"/>
      <c r="AZ367" s="513"/>
      <c r="BE367" s="420"/>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2" t="str">
        <f>IFERROR(IF(OR(N369="ベア加算",N369=""),"",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4"/>
      <c r="AV368" s="1489" t="str">
        <f t="shared" ref="AV368" si="435">IF(OR(AB366&lt;&gt;7,AD366&lt;&gt;3),"V列に色付け","")</f>
        <v/>
      </c>
      <c r="AW368" s="1514"/>
      <c r="AX368" s="1503"/>
      <c r="AY368" s="661"/>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0"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3"/>
      <c r="AN369" s="1545"/>
      <c r="AO369" s="1551"/>
      <c r="AP369" s="1549"/>
      <c r="AQ369" s="1551"/>
      <c r="AR369" s="1553"/>
      <c r="AS369" s="1555"/>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9"/>
      <c r="AW369" s="642" t="str">
        <f>IF('別紙様式2-2（４・５月分）'!O280="","",'別紙様式2-2（４・５月分）'!O280)</f>
        <v/>
      </c>
      <c r="AX369" s="1503"/>
      <c r="AY369" s="663"/>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2247</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2161</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84">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30"/>
      <c r="AW370" s="642" t="str">
        <f>IF('別紙様式2-2（４・５月分）'!O281="","",'別紙様式2-2（４・５月分）'!O281)</f>
        <v/>
      </c>
      <c r="AX370" s="1503">
        <f>SUM('別紙様式2-2（４・５月分）'!P281:P283)</f>
        <v>0</v>
      </c>
      <c r="AY370" s="1587" t="str">
        <f>IFERROR(VLOOKUP(K370,【参考】数式用!$AJ$2:$AK$24,2,FALSE),"")</f>
        <v/>
      </c>
      <c r="AZ370" s="576"/>
      <c r="BE370" s="420"/>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85"/>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4"/>
      <c r="AV371" s="1489"/>
      <c r="AW371" s="1514" t="str">
        <f>IF('別紙様式2-2（４・５月分）'!O282="","",'別紙様式2-2（４・５月分）'!O282)</f>
        <v/>
      </c>
      <c r="AX371" s="1503"/>
      <c r="AY371" s="1587"/>
      <c r="AZ371" s="513"/>
      <c r="BE371" s="420"/>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2" t="str">
        <f>IFERROR(IF(OR(N373="ベア加算",N373=""),"",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4"/>
      <c r="AV372" s="1489" t="str">
        <f t="shared" ref="AV372" si="440">IF(OR(AB370&lt;&gt;7,AD370&lt;&gt;3),"V列に色付け","")</f>
        <v/>
      </c>
      <c r="AW372" s="1514"/>
      <c r="AX372" s="1503"/>
      <c r="AY372" s="661"/>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0"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3"/>
      <c r="AN373" s="1545"/>
      <c r="AO373" s="1551"/>
      <c r="AP373" s="1549"/>
      <c r="AQ373" s="1551"/>
      <c r="AR373" s="1553"/>
      <c r="AS373" s="1555"/>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9"/>
      <c r="AW373" s="642" t="str">
        <f>IF('別紙様式2-2（４・５月分）'!O283="","",'別紙様式2-2（４・５月分）'!O283)</f>
        <v/>
      </c>
      <c r="AX373" s="1503"/>
      <c r="AY373" s="663"/>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2247</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2161</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84">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30"/>
      <c r="AW374" s="642" t="str">
        <f>IF('別紙様式2-2（４・５月分）'!O284="","",'別紙様式2-2（４・５月分）'!O284)</f>
        <v/>
      </c>
      <c r="AX374" s="1503">
        <f>SUM('別紙様式2-2（４・５月分）'!P284:P286)</f>
        <v>0</v>
      </c>
      <c r="AY374" s="1588" t="str">
        <f>IFERROR(VLOOKUP(K374,【参考】数式用!$AJ$2:$AK$24,2,FALSE),"")</f>
        <v/>
      </c>
      <c r="AZ374" s="576"/>
      <c r="BE374" s="420"/>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85"/>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4"/>
      <c r="AV375" s="1489"/>
      <c r="AW375" s="1514" t="str">
        <f>IF('別紙様式2-2（４・５月分）'!O285="","",'別紙様式2-2（４・５月分）'!O285)</f>
        <v/>
      </c>
      <c r="AX375" s="1503"/>
      <c r="AY375" s="1587"/>
      <c r="AZ375" s="513"/>
      <c r="BE375" s="420"/>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2" t="str">
        <f>IFERROR(IF(OR(N377="ベア加算",N377=""),"",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4"/>
      <c r="AV376" s="1489" t="str">
        <f t="shared" ref="AV376" si="445">IF(OR(AB374&lt;&gt;7,AD374&lt;&gt;3),"V列に色付け","")</f>
        <v/>
      </c>
      <c r="AW376" s="1514"/>
      <c r="AX376" s="1503"/>
      <c r="AY376" s="661"/>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0"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3"/>
      <c r="AN377" s="1545"/>
      <c r="AO377" s="1551"/>
      <c r="AP377" s="1549"/>
      <c r="AQ377" s="1551"/>
      <c r="AR377" s="1553"/>
      <c r="AS377" s="1555"/>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9"/>
      <c r="AW377" s="642" t="str">
        <f>IF('別紙様式2-2（４・５月分）'!O286="","",'別紙様式2-2（４・５月分）'!O286)</f>
        <v/>
      </c>
      <c r="AX377" s="1503"/>
      <c r="AY377" s="663"/>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2247</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2161</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84">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30"/>
      <c r="AW378" s="642" t="str">
        <f>IF('別紙様式2-2（４・５月分）'!O287="","",'別紙様式2-2（４・５月分）'!O287)</f>
        <v/>
      </c>
      <c r="AX378" s="1503">
        <f>SUM('別紙様式2-2（４・５月分）'!P287:P289)</f>
        <v>0</v>
      </c>
      <c r="AY378" s="1587" t="str">
        <f>IFERROR(VLOOKUP(K378,【参考】数式用!$AJ$2:$AK$24,2,FALSE),"")</f>
        <v/>
      </c>
      <c r="AZ378" s="576"/>
      <c r="BE378" s="420"/>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85"/>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4"/>
      <c r="AV379" s="1489"/>
      <c r="AW379" s="1514" t="str">
        <f>IF('別紙様式2-2（４・５月分）'!O288="","",'別紙様式2-2（４・５月分）'!O288)</f>
        <v/>
      </c>
      <c r="AX379" s="1503"/>
      <c r="AY379" s="1587"/>
      <c r="AZ379" s="513"/>
      <c r="BE379" s="420"/>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2" t="str">
        <f>IFERROR(IF(OR(N381="ベア加算",N381=""),"",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4"/>
      <c r="AV380" s="1489" t="str">
        <f t="shared" ref="AV380" si="450">IF(OR(AB378&lt;&gt;7,AD378&lt;&gt;3),"V列に色付け","")</f>
        <v/>
      </c>
      <c r="AW380" s="1514"/>
      <c r="AX380" s="1503"/>
      <c r="AY380" s="661"/>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0"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3"/>
      <c r="AN381" s="1545"/>
      <c r="AO381" s="1551"/>
      <c r="AP381" s="1549"/>
      <c r="AQ381" s="1551"/>
      <c r="AR381" s="1553"/>
      <c r="AS381" s="1555"/>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9"/>
      <c r="AW381" s="642" t="str">
        <f>IF('別紙様式2-2（４・５月分）'!O289="","",'別紙様式2-2（４・５月分）'!O289)</f>
        <v/>
      </c>
      <c r="AX381" s="1503"/>
      <c r="AY381" s="663"/>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2247</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2161</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84">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30"/>
      <c r="AW382" s="642" t="str">
        <f>IF('別紙様式2-2（４・５月分）'!O290="","",'別紙様式2-2（４・５月分）'!O290)</f>
        <v/>
      </c>
      <c r="AX382" s="1503">
        <f>SUM('別紙様式2-2（４・５月分）'!P290:P292)</f>
        <v>0</v>
      </c>
      <c r="AY382" s="1588" t="str">
        <f>IFERROR(VLOOKUP(K382,【参考】数式用!$AJ$2:$AK$24,2,FALSE),"")</f>
        <v/>
      </c>
      <c r="AZ382" s="576"/>
      <c r="BE382" s="420"/>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85"/>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4"/>
      <c r="AV383" s="1489"/>
      <c r="AW383" s="1514" t="str">
        <f>IF('別紙様式2-2（４・５月分）'!O291="","",'別紙様式2-2（４・５月分）'!O291)</f>
        <v/>
      </c>
      <c r="AX383" s="1503"/>
      <c r="AY383" s="1587"/>
      <c r="AZ383" s="513"/>
      <c r="BE383" s="420"/>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2" t="str">
        <f>IFERROR(IF(OR(N385="ベア加算",N385=""),"",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4"/>
      <c r="AV384" s="1489" t="str">
        <f t="shared" ref="AV384" si="455">IF(OR(AB382&lt;&gt;7,AD382&lt;&gt;3),"V列に色付け","")</f>
        <v/>
      </c>
      <c r="AW384" s="1514"/>
      <c r="AX384" s="1503"/>
      <c r="AY384" s="661"/>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0"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3"/>
      <c r="AN385" s="1545"/>
      <c r="AO385" s="1551"/>
      <c r="AP385" s="1549"/>
      <c r="AQ385" s="1551"/>
      <c r="AR385" s="1553"/>
      <c r="AS385" s="1555"/>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9"/>
      <c r="AW385" s="642" t="str">
        <f>IF('別紙様式2-2（４・５月分）'!O292="","",'別紙様式2-2（４・５月分）'!O292)</f>
        <v/>
      </c>
      <c r="AX385" s="1503"/>
      <c r="AY385" s="663"/>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2247</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2161</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84">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30"/>
      <c r="AW386" s="642" t="str">
        <f>IF('別紙様式2-2（４・５月分）'!O293="","",'別紙様式2-2（４・５月分）'!O293)</f>
        <v/>
      </c>
      <c r="AX386" s="1503">
        <f>SUM('別紙様式2-2（４・５月分）'!P293:P295)</f>
        <v>0</v>
      </c>
      <c r="AY386" s="1587" t="str">
        <f>IFERROR(VLOOKUP(K386,【参考】数式用!$AJ$2:$AK$24,2,FALSE),"")</f>
        <v/>
      </c>
      <c r="AZ386" s="576"/>
      <c r="BE386" s="420"/>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85"/>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4"/>
      <c r="AV387" s="1489"/>
      <c r="AW387" s="1514" t="str">
        <f>IF('別紙様式2-2（４・５月分）'!O294="","",'別紙様式2-2（４・５月分）'!O294)</f>
        <v/>
      </c>
      <c r="AX387" s="1503"/>
      <c r="AY387" s="1587"/>
      <c r="AZ387" s="513"/>
      <c r="BE387" s="420"/>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2" t="str">
        <f>IFERROR(IF(OR(N389="ベア加算",N389=""),"",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4"/>
      <c r="AV388" s="1489" t="str">
        <f t="shared" ref="AV388" si="460">IF(OR(AB386&lt;&gt;7,AD386&lt;&gt;3),"V列に色付け","")</f>
        <v/>
      </c>
      <c r="AW388" s="1514"/>
      <c r="AX388" s="1503"/>
      <c r="AY388" s="661"/>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0"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3"/>
      <c r="AN389" s="1545"/>
      <c r="AO389" s="1551"/>
      <c r="AP389" s="1549"/>
      <c r="AQ389" s="1551"/>
      <c r="AR389" s="1553"/>
      <c r="AS389" s="1555"/>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9"/>
      <c r="AW389" s="642" t="str">
        <f>IF('別紙様式2-2（４・５月分）'!O295="","",'別紙様式2-2（４・５月分）'!O295)</f>
        <v/>
      </c>
      <c r="AX389" s="1503"/>
      <c r="AY389" s="663"/>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2247</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2161</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84">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30"/>
      <c r="AW390" s="642" t="str">
        <f>IF('別紙様式2-2（４・５月分）'!O296="","",'別紙様式2-2（４・５月分）'!O296)</f>
        <v/>
      </c>
      <c r="AX390" s="1503">
        <f>SUM('別紙様式2-2（４・５月分）'!P296:P298)</f>
        <v>0</v>
      </c>
      <c r="AY390" s="1588" t="str">
        <f>IFERROR(VLOOKUP(K390,【参考】数式用!$AJ$2:$AK$24,2,FALSE),"")</f>
        <v/>
      </c>
      <c r="AZ390" s="576"/>
      <c r="BE390" s="420"/>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85"/>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4"/>
      <c r="AV391" s="1489"/>
      <c r="AW391" s="1514" t="str">
        <f>IF('別紙様式2-2（４・５月分）'!O297="","",'別紙様式2-2（４・５月分）'!O297)</f>
        <v/>
      </c>
      <c r="AX391" s="1503"/>
      <c r="AY391" s="1587"/>
      <c r="AZ391" s="513"/>
      <c r="BE391" s="420"/>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2" t="str">
        <f>IFERROR(IF(OR(N393="ベア加算",N393=""),"",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4"/>
      <c r="AV392" s="1489" t="str">
        <f t="shared" ref="AV392" si="465">IF(OR(AB390&lt;&gt;7,AD390&lt;&gt;3),"V列に色付け","")</f>
        <v/>
      </c>
      <c r="AW392" s="1514"/>
      <c r="AX392" s="1503"/>
      <c r="AY392" s="661"/>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0"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3"/>
      <c r="AN393" s="1545"/>
      <c r="AO393" s="1551"/>
      <c r="AP393" s="1549"/>
      <c r="AQ393" s="1551"/>
      <c r="AR393" s="1553"/>
      <c r="AS393" s="1555"/>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9"/>
      <c r="AW393" s="642" t="str">
        <f>IF('別紙様式2-2（４・５月分）'!O298="","",'別紙様式2-2（４・５月分）'!O298)</f>
        <v/>
      </c>
      <c r="AX393" s="1503"/>
      <c r="AY393" s="663"/>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2247</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2161</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84">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30"/>
      <c r="AW394" s="642" t="str">
        <f>IF('別紙様式2-2（４・５月分）'!O299="","",'別紙様式2-2（４・５月分）'!O299)</f>
        <v/>
      </c>
      <c r="AX394" s="1503">
        <f>SUM('別紙様式2-2（４・５月分）'!P299:P301)</f>
        <v>0</v>
      </c>
      <c r="AY394" s="1587" t="str">
        <f>IFERROR(VLOOKUP(K394,【参考】数式用!$AJ$2:$AK$24,2,FALSE),"")</f>
        <v/>
      </c>
      <c r="AZ394" s="576"/>
      <c r="BE394" s="420"/>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85"/>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4"/>
      <c r="AV395" s="1489"/>
      <c r="AW395" s="1514" t="str">
        <f>IF('別紙様式2-2（４・５月分）'!O300="","",'別紙様式2-2（４・５月分）'!O300)</f>
        <v/>
      </c>
      <c r="AX395" s="1503"/>
      <c r="AY395" s="1587"/>
      <c r="AZ395" s="513"/>
      <c r="BE395" s="420"/>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2" t="str">
        <f>IFERROR(IF(OR(N397="ベア加算",N397=""),"",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4"/>
      <c r="AV396" s="1489" t="str">
        <f t="shared" ref="AV396" si="470">IF(OR(AB394&lt;&gt;7,AD394&lt;&gt;3),"V列に色付け","")</f>
        <v/>
      </c>
      <c r="AW396" s="1514"/>
      <c r="AX396" s="1503"/>
      <c r="AY396" s="661"/>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0"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3"/>
      <c r="AN397" s="1545"/>
      <c r="AO397" s="1551"/>
      <c r="AP397" s="1549"/>
      <c r="AQ397" s="1551"/>
      <c r="AR397" s="1553"/>
      <c r="AS397" s="1555"/>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9"/>
      <c r="AW397" s="642" t="str">
        <f>IF('別紙様式2-2（４・５月分）'!O301="","",'別紙様式2-2（４・５月分）'!O301)</f>
        <v/>
      </c>
      <c r="AX397" s="1503"/>
      <c r="AY397" s="663"/>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2247</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2161</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84">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30"/>
      <c r="AW398" s="642" t="str">
        <f>IF('別紙様式2-2（４・５月分）'!O302="","",'別紙様式2-2（４・５月分）'!O302)</f>
        <v/>
      </c>
      <c r="AX398" s="1503">
        <f>SUM('別紙様式2-2（４・５月分）'!P302:P304)</f>
        <v>0</v>
      </c>
      <c r="AY398" s="1588" t="str">
        <f>IFERROR(VLOOKUP(K398,【参考】数式用!$AJ$2:$AK$24,2,FALSE),"")</f>
        <v/>
      </c>
      <c r="AZ398" s="576"/>
      <c r="BE398" s="420"/>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85"/>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4"/>
      <c r="AV399" s="1489"/>
      <c r="AW399" s="1514" t="str">
        <f>IF('別紙様式2-2（４・５月分）'!O303="","",'別紙様式2-2（４・５月分）'!O303)</f>
        <v/>
      </c>
      <c r="AX399" s="1503"/>
      <c r="AY399" s="1587"/>
      <c r="AZ399" s="513"/>
      <c r="BE399" s="420"/>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2" t="str">
        <f>IFERROR(IF(OR(N401="ベア加算",N401=""),"",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4"/>
      <c r="AV400" s="1489" t="str">
        <f t="shared" ref="AV400" si="475">IF(OR(AB398&lt;&gt;7,AD398&lt;&gt;3),"V列に色付け","")</f>
        <v/>
      </c>
      <c r="AW400" s="1514"/>
      <c r="AX400" s="1503"/>
      <c r="AY400" s="661"/>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0"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3"/>
      <c r="AN401" s="1545"/>
      <c r="AO401" s="1551"/>
      <c r="AP401" s="1549"/>
      <c r="AQ401" s="1551"/>
      <c r="AR401" s="1553"/>
      <c r="AS401" s="1555"/>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9"/>
      <c r="AW401" s="642" t="str">
        <f>IF('別紙様式2-2（４・５月分）'!O304="","",'別紙様式2-2（４・５月分）'!O304)</f>
        <v/>
      </c>
      <c r="AX401" s="1503"/>
      <c r="AY401" s="663"/>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2247</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2161</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84">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30"/>
      <c r="AW402" s="642" t="str">
        <f>IF('別紙様式2-2（４・５月分）'!O305="","",'別紙様式2-2（４・５月分）'!O305)</f>
        <v/>
      </c>
      <c r="AX402" s="1503">
        <f>SUM('別紙様式2-2（４・５月分）'!P305:P307)</f>
        <v>0</v>
      </c>
      <c r="AY402" s="1587" t="str">
        <f>IFERROR(VLOOKUP(K402,【参考】数式用!$AJ$2:$AK$24,2,FALSE),"")</f>
        <v/>
      </c>
      <c r="AZ402" s="576"/>
      <c r="BE402" s="420"/>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85"/>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4"/>
      <c r="AV403" s="1489"/>
      <c r="AW403" s="1514" t="str">
        <f>IF('別紙様式2-2（４・５月分）'!O306="","",'別紙様式2-2（４・５月分）'!O306)</f>
        <v/>
      </c>
      <c r="AX403" s="1503"/>
      <c r="AY403" s="1587"/>
      <c r="AZ403" s="513"/>
      <c r="BE403" s="420"/>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2" t="str">
        <f>IFERROR(IF(OR(N405="ベア加算",N405=""),"",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4"/>
      <c r="AV404" s="1489" t="str">
        <f t="shared" ref="AV404" si="480">IF(OR(AB402&lt;&gt;7,AD402&lt;&gt;3),"V列に色付け","")</f>
        <v/>
      </c>
      <c r="AW404" s="1514"/>
      <c r="AX404" s="1503"/>
      <c r="AY404" s="661"/>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0"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3"/>
      <c r="AN405" s="1545"/>
      <c r="AO405" s="1551"/>
      <c r="AP405" s="1549"/>
      <c r="AQ405" s="1551"/>
      <c r="AR405" s="1553"/>
      <c r="AS405" s="1555"/>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9"/>
      <c r="AW405" s="642" t="str">
        <f>IF('別紙様式2-2（４・５月分）'!O307="","",'別紙様式2-2（４・５月分）'!O307)</f>
        <v/>
      </c>
      <c r="AX405" s="1503"/>
      <c r="AY405" s="663"/>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2247</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2161</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84">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30"/>
      <c r="AW406" s="642" t="str">
        <f>IF('別紙様式2-2（４・５月分）'!O308="","",'別紙様式2-2（４・５月分）'!O308)</f>
        <v/>
      </c>
      <c r="AX406" s="1503">
        <f>SUM('別紙様式2-2（４・５月分）'!P308:P310)</f>
        <v>0</v>
      </c>
      <c r="AY406" s="1588" t="str">
        <f>IFERROR(VLOOKUP(K406,【参考】数式用!$AJ$2:$AK$24,2,FALSE),"")</f>
        <v/>
      </c>
      <c r="AZ406" s="576"/>
      <c r="BE406" s="420"/>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85"/>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4"/>
      <c r="AV407" s="1489"/>
      <c r="AW407" s="1514" t="str">
        <f>IF('別紙様式2-2（４・５月分）'!O309="","",'別紙様式2-2（４・５月分）'!O309)</f>
        <v/>
      </c>
      <c r="AX407" s="1503"/>
      <c r="AY407" s="1587"/>
      <c r="AZ407" s="513"/>
      <c r="BE407" s="420"/>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2" t="str">
        <f>IFERROR(IF(OR(N409="ベア加算",N409=""),"",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4"/>
      <c r="AV408" s="1489" t="str">
        <f t="shared" ref="AV408" si="485">IF(OR(AB406&lt;&gt;7,AD406&lt;&gt;3),"V列に色付け","")</f>
        <v/>
      </c>
      <c r="AW408" s="1514"/>
      <c r="AX408" s="1503"/>
      <c r="AY408" s="661"/>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0"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3"/>
      <c r="AN409" s="1545"/>
      <c r="AO409" s="1551"/>
      <c r="AP409" s="1549"/>
      <c r="AQ409" s="1551"/>
      <c r="AR409" s="1553"/>
      <c r="AS409" s="1555"/>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9"/>
      <c r="AW409" s="642" t="str">
        <f>IF('別紙様式2-2（４・５月分）'!O310="","",'別紙様式2-2（４・５月分）'!O310)</f>
        <v/>
      </c>
      <c r="AX409" s="1503"/>
      <c r="AY409" s="663"/>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2247</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2161</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84">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30"/>
      <c r="AW410" s="642" t="str">
        <f>IF('別紙様式2-2（４・５月分）'!O311="","",'別紙様式2-2（４・５月分）'!O311)</f>
        <v/>
      </c>
      <c r="AX410" s="1503">
        <f>SUM('別紙様式2-2（４・５月分）'!P311:P313)</f>
        <v>0</v>
      </c>
      <c r="AY410" s="1587" t="str">
        <f>IFERROR(VLOOKUP(K410,【参考】数式用!$AJ$2:$AK$24,2,FALSE),"")</f>
        <v/>
      </c>
      <c r="AZ410" s="576"/>
      <c r="BE410" s="420"/>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85"/>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4"/>
      <c r="AV411" s="1489"/>
      <c r="AW411" s="1514" t="str">
        <f>IF('別紙様式2-2（４・５月分）'!O312="","",'別紙様式2-2（４・５月分）'!O312)</f>
        <v/>
      </c>
      <c r="AX411" s="1503"/>
      <c r="AY411" s="1587"/>
      <c r="AZ411" s="513"/>
      <c r="BE411" s="420"/>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2" t="str">
        <f>IFERROR(IF(OR(N413="ベア加算",N413=""),"",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4"/>
      <c r="AV412" s="1489" t="str">
        <f t="shared" ref="AV412" si="490">IF(OR(AB410&lt;&gt;7,AD410&lt;&gt;3),"V列に色付け","")</f>
        <v/>
      </c>
      <c r="AW412" s="1514"/>
      <c r="AX412" s="1503"/>
      <c r="AY412" s="661"/>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0"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3"/>
      <c r="AN413" s="1545"/>
      <c r="AO413" s="1551"/>
      <c r="AP413" s="1549"/>
      <c r="AQ413" s="1551"/>
      <c r="AR413" s="1553"/>
      <c r="AS413" s="1555"/>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9"/>
      <c r="AW413" s="642" t="str">
        <f>IF('別紙様式2-2（４・５月分）'!O313="","",'別紙様式2-2（４・５月分）'!O313)</f>
        <v/>
      </c>
      <c r="AX413" s="1503"/>
      <c r="AY413" s="663"/>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
  <cols>
    <col min="1" max="1" width="42.36328125" style="1" customWidth="1"/>
    <col min="2" max="28" width="6.08984375" style="1" customWidth="1"/>
    <col min="29" max="30" width="8" style="1" customWidth="1"/>
    <col min="31" max="31" width="39.453125" style="1" customWidth="1"/>
    <col min="32" max="32" width="26.90625" style="1" customWidth="1"/>
    <col min="33" max="33" width="29.453125" style="1" bestFit="1" customWidth="1"/>
    <col min="34" max="34" width="50.6328125" style="1" customWidth="1"/>
    <col min="35" max="35" width="9.08984375" style="1" customWidth="1"/>
    <col min="36" max="36" width="38.36328125" style="1" customWidth="1"/>
    <col min="37" max="37" width="36.6328125" style="1" customWidth="1"/>
    <col min="38" max="38" width="9" style="1"/>
    <col min="39" max="39" width="13.6328125" style="1" customWidth="1"/>
    <col min="40" max="43" width="9" style="1"/>
    <col min="44" max="44" width="12.08984375" style="1" customWidth="1"/>
    <col min="45" max="45" width="9" style="1"/>
    <col min="46" max="46" width="30.6328125" style="1" customWidth="1"/>
    <col min="47" max="47" width="12" style="1" customWidth="1"/>
    <col min="48" max="48" width="11.453125" style="107" customWidth="1"/>
    <col min="49" max="49" width="9" style="1" customWidth="1"/>
    <col min="50" max="16384" width="9" style="1"/>
  </cols>
  <sheetData>
    <row r="1" spans="1:48" ht="13.5" thickBot="1">
      <c r="A1" s="2" t="s">
        <v>2098</v>
      </c>
      <c r="B1" s="2"/>
      <c r="C1" s="2"/>
      <c r="D1" s="2"/>
      <c r="E1" s="2"/>
      <c r="AD1" s="23"/>
      <c r="AE1" s="2" t="s">
        <v>2326</v>
      </c>
      <c r="AJ1" s="1" t="s">
        <v>231</v>
      </c>
      <c r="AM1" s="1" t="s">
        <v>232</v>
      </c>
      <c r="AO1" s="2" t="s">
        <v>241</v>
      </c>
      <c r="AQ1" s="63" t="s">
        <v>2347</v>
      </c>
    </row>
    <row r="2" spans="1:48" ht="27" customHeight="1">
      <c r="A2" s="1614" t="s">
        <v>18</v>
      </c>
      <c r="B2" s="1608" t="s">
        <v>43</v>
      </c>
      <c r="C2" s="1609"/>
      <c r="D2" s="1609"/>
      <c r="E2" s="1610"/>
      <c r="F2" s="1621" t="s">
        <v>106</v>
      </c>
      <c r="G2" s="1622"/>
      <c r="H2" s="1623"/>
      <c r="I2" s="1614" t="s">
        <v>191</v>
      </c>
      <c r="J2" s="1624"/>
      <c r="K2" s="1617" t="s">
        <v>192</v>
      </c>
      <c r="L2" s="1601"/>
      <c r="M2" s="1601"/>
      <c r="N2" s="1601"/>
      <c r="O2" s="1601"/>
      <c r="P2" s="1601"/>
      <c r="Q2" s="1601"/>
      <c r="R2" s="1601"/>
      <c r="S2" s="1601"/>
      <c r="T2" s="1601"/>
      <c r="U2" s="1601"/>
      <c r="V2" s="1601"/>
      <c r="W2" s="1601"/>
      <c r="X2" s="1601"/>
      <c r="Y2" s="1601"/>
      <c r="Z2" s="1601"/>
      <c r="AA2" s="1601"/>
      <c r="AB2" s="1605"/>
      <c r="AC2" s="1639" t="s">
        <v>2160</v>
      </c>
      <c r="AD2" s="23"/>
      <c r="AE2" s="1632" t="s">
        <v>18</v>
      </c>
      <c r="AF2" s="1632" t="s">
        <v>2325</v>
      </c>
      <c r="AG2" s="1633"/>
      <c r="AH2" s="1634"/>
      <c r="AJ2" s="45" t="s">
        <v>145</v>
      </c>
      <c r="AK2" s="70" t="s">
        <v>145</v>
      </c>
      <c r="AM2" s="71" t="s">
        <v>173</v>
      </c>
      <c r="AO2" s="100" t="s">
        <v>2087</v>
      </c>
      <c r="AQ2" s="1598" t="s">
        <v>43</v>
      </c>
      <c r="AR2" s="1601" t="s">
        <v>106</v>
      </c>
      <c r="AS2" s="1601" t="s">
        <v>191</v>
      </c>
      <c r="AT2" s="1626" t="s">
        <v>215</v>
      </c>
      <c r="AU2" s="1629" t="s">
        <v>214</v>
      </c>
      <c r="AV2" s="1605" t="s">
        <v>2177</v>
      </c>
    </row>
    <row r="3" spans="1:48" ht="36.75" customHeight="1" thickBot="1">
      <c r="A3" s="1615"/>
      <c r="B3" s="1611" t="s">
        <v>259</v>
      </c>
      <c r="C3" s="1612"/>
      <c r="D3" s="1612"/>
      <c r="E3" s="1613"/>
      <c r="F3" s="1611" t="s">
        <v>42</v>
      </c>
      <c r="G3" s="1612"/>
      <c r="H3" s="1613"/>
      <c r="I3" s="1616"/>
      <c r="J3" s="1625"/>
      <c r="K3" s="1618" t="s">
        <v>193</v>
      </c>
      <c r="L3" s="1619"/>
      <c r="M3" s="1619"/>
      <c r="N3" s="1619"/>
      <c r="O3" s="1619"/>
      <c r="P3" s="1619"/>
      <c r="Q3" s="1619"/>
      <c r="R3" s="1619"/>
      <c r="S3" s="1619"/>
      <c r="T3" s="1619"/>
      <c r="U3" s="1619"/>
      <c r="V3" s="1619"/>
      <c r="W3" s="1619"/>
      <c r="X3" s="1619"/>
      <c r="Y3" s="1619"/>
      <c r="Z3" s="1619"/>
      <c r="AA3" s="1619"/>
      <c r="AB3" s="1620"/>
      <c r="AC3" s="1640"/>
      <c r="AD3" s="23"/>
      <c r="AE3" s="1635"/>
      <c r="AF3" s="1635"/>
      <c r="AG3" s="1636"/>
      <c r="AH3" s="1637"/>
      <c r="AJ3" s="42" t="s">
        <v>218</v>
      </c>
      <c r="AK3" s="68" t="s">
        <v>218</v>
      </c>
      <c r="AM3" s="72"/>
      <c r="AO3" s="82" t="s">
        <v>2088</v>
      </c>
      <c r="AQ3" s="1599"/>
      <c r="AR3" s="1602"/>
      <c r="AS3" s="1602"/>
      <c r="AT3" s="1627"/>
      <c r="AU3" s="1630"/>
      <c r="AV3" s="1606"/>
    </row>
    <row r="4" spans="1:48" ht="22.5" thickBot="1">
      <c r="A4" s="1616"/>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1"/>
      <c r="AD4" s="23"/>
      <c r="AE4" s="1638"/>
      <c r="AF4" s="1635"/>
      <c r="AG4" s="1636"/>
      <c r="AH4" s="1637"/>
      <c r="AJ4" s="42" t="s">
        <v>219</v>
      </c>
      <c r="AK4" s="68" t="s">
        <v>219</v>
      </c>
      <c r="AO4" s="82" t="s">
        <v>2089</v>
      </c>
      <c r="AQ4" s="1600"/>
      <c r="AR4" s="1603"/>
      <c r="AS4" s="1603"/>
      <c r="AT4" s="1628"/>
      <c r="AU4" s="1631"/>
      <c r="AV4" s="1607"/>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5"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5"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3.5"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3.5"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13.5"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7" t="s">
        <v>2099</v>
      </c>
      <c r="AF29" s="1597"/>
      <c r="AG29" s="1597"/>
      <c r="AH29" s="1597"/>
    </row>
    <row r="30" spans="1:48" ht="13.5" customHeight="1">
      <c r="K30" s="23"/>
      <c r="L30" s="23"/>
      <c r="M30" s="23"/>
      <c r="N30" s="23"/>
      <c r="O30" s="23"/>
      <c r="P30" s="23"/>
      <c r="Q30" s="23"/>
      <c r="R30" s="23"/>
      <c r="S30" s="23"/>
      <c r="T30" s="23"/>
      <c r="U30" s="23"/>
      <c r="V30" s="23"/>
      <c r="W30" s="23"/>
      <c r="X30" s="23"/>
      <c r="Y30" s="23"/>
      <c r="Z30" s="23"/>
      <c r="AA30" s="23"/>
      <c r="AB30" s="23"/>
      <c r="AC30" s="23"/>
      <c r="AD30" s="23"/>
      <c r="AE30" s="1604" t="s">
        <v>2265</v>
      </c>
      <c r="AF30" s="1604"/>
      <c r="AG30" s="1604"/>
      <c r="AH30" s="1604"/>
    </row>
    <row r="31" spans="1:48">
      <c r="K31" s="23"/>
      <c r="L31" s="23"/>
      <c r="M31" s="23"/>
      <c r="N31" s="23"/>
      <c r="O31" s="23"/>
      <c r="P31" s="23"/>
      <c r="Q31" s="23"/>
      <c r="R31" s="23"/>
      <c r="S31" s="23"/>
      <c r="T31" s="23"/>
      <c r="U31" s="23"/>
      <c r="V31" s="23"/>
      <c r="W31" s="23"/>
      <c r="X31" s="23"/>
      <c r="Y31" s="23"/>
      <c r="Z31" s="23"/>
      <c r="AA31" s="23"/>
      <c r="AB31" s="23"/>
      <c r="AC31" s="23"/>
      <c r="AD31" s="23"/>
      <c r="AE31" s="1604"/>
      <c r="AF31" s="1604"/>
      <c r="AG31" s="1604"/>
      <c r="AH31" s="1604"/>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
  <cols>
    <col min="1" max="1" width="15.08984375" bestFit="1" customWidth="1"/>
    <col min="3" max="3" width="16.6328125" bestFit="1" customWidth="1"/>
    <col min="4" max="4" width="16" bestFit="1" customWidth="1"/>
    <col min="6" max="6" width="19.453125" bestFit="1" customWidth="1"/>
    <col min="10" max="10" width="45.90625" customWidth="1"/>
    <col min="11" max="11" width="12.08984375" bestFit="1" customWidth="1"/>
  </cols>
  <sheetData>
    <row r="1" spans="1:11" ht="13.5" thickBot="1">
      <c r="A1" s="2" t="s">
        <v>2086</v>
      </c>
      <c r="C1" t="s">
        <v>2085</v>
      </c>
      <c r="F1" t="s">
        <v>2084</v>
      </c>
    </row>
    <row r="2" spans="1:11" ht="13.5"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3.5"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3.5"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3.5"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3.5" thickBot="1">
      <c r="C1749" s="76" t="s">
        <v>267</v>
      </c>
      <c r="D1749" s="75"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2024-12-02T01:12:38Z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